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T:\Own\Termekfejlesztes\JELZÁLOGFIN\Kalkulátorok\2024\2024.05.01_Szlavez díj\Csak Partnereknek\"/>
    </mc:Choice>
  </mc:AlternateContent>
  <xr:revisionPtr revIDLastSave="0" documentId="13_ncr:1_{7F6EB8D9-54C2-421C-82C6-21A669F2827A}" xr6:coauthVersionLast="47" xr6:coauthVersionMax="47" xr10:uidLastSave="{00000000-0000-0000-0000-000000000000}"/>
  <bookViews>
    <workbookView xWindow="-108" yWindow="-108" windowWidth="23256" windowHeight="12576" tabRatio="687" xr2:uid="{00000000-000D-0000-FFFF-FFFF00000000}"/>
  </bookViews>
  <sheets>
    <sheet name="Calc" sheetId="1" r:id="rId1"/>
    <sheet name="Munka2" sheetId="13" state="hidden" r:id="rId2"/>
    <sheet name="Repi_példa" sheetId="12" state="hidden" r:id="rId3"/>
    <sheet name="Tájékoztató" sheetId="7" r:id="rId4"/>
    <sheet name="Törlesztési védelem" sheetId="4" state="hidden" r:id="rId5"/>
    <sheet name="Calc2 tőkelefutáshoz" sheetId="11" state="hidden" r:id="rId6"/>
    <sheet name="THM calc" sheetId="10" state="hidden" r:id="rId7"/>
    <sheet name="Eredmény_havi fiz._I" sheetId="2" state="hidden" r:id="rId8"/>
    <sheet name="Eredmény_havi fiz._II" sheetId="3" state="hidden" r:id="rId9"/>
    <sheet name="Fair bank segédtábla" sheetId="6" state="hidden" r:id="rId10"/>
    <sheet name="Munka1" sheetId="8" state="hidden" r:id="rId11"/>
  </sheets>
  <definedNames>
    <definedName name="_xlnm.Print_Area" localSheetId="0">Calc!$A$1:$L$37</definedName>
    <definedName name="_xlnm.Print_Area" localSheetId="5">'Calc2 tőkelefutáshoz'!$A$1:$L$37</definedName>
    <definedName name="_xlnm.Print_Area" localSheetId="3">Tájékoztató!$A$1:$J$228</definedName>
    <definedName name="_xlnm.Print_Area" localSheetId="6">'THM calc'!$A$1:$L$36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3" i="7" l="1"/>
  <c r="B30" i="8"/>
  <c r="B31" i="8" s="1"/>
  <c r="B32" i="8" s="1"/>
  <c r="C5" i="1" s="1"/>
  <c r="D29" i="7"/>
  <c r="C32" i="7" s="1"/>
  <c r="B186" i="7"/>
  <c r="D27" i="7" l="1"/>
  <c r="D30" i="7"/>
  <c r="F31" i="7"/>
  <c r="A2" i="8"/>
  <c r="G6" i="11" l="1"/>
  <c r="B98" i="7" l="1"/>
  <c r="G123" i="7" l="1"/>
  <c r="C16" i="11"/>
  <c r="C17" i="11"/>
  <c r="C18" i="11"/>
  <c r="C19" i="11"/>
  <c r="C20" i="11"/>
  <c r="C15" i="11"/>
  <c r="C11" i="11"/>
  <c r="C10" i="11"/>
  <c r="C9" i="11"/>
  <c r="C8" i="11"/>
  <c r="C7" i="11"/>
  <c r="C5" i="11"/>
  <c r="C6" i="11"/>
  <c r="C4" i="11"/>
  <c r="L13" i="11" s="1"/>
  <c r="C3" i="11"/>
  <c r="I324" i="11" s="1"/>
  <c r="C2" i="11"/>
  <c r="B25" i="11" s="1"/>
  <c r="C106" i="7" s="1"/>
  <c r="G325" i="11"/>
  <c r="G324" i="11"/>
  <c r="G323" i="11"/>
  <c r="G322" i="11"/>
  <c r="I321" i="11"/>
  <c r="G321" i="11"/>
  <c r="G320" i="11"/>
  <c r="G319" i="11"/>
  <c r="G318" i="11"/>
  <c r="G317" i="11"/>
  <c r="G316" i="11"/>
  <c r="I315" i="11"/>
  <c r="G315" i="11"/>
  <c r="I314" i="11"/>
  <c r="G314" i="11"/>
  <c r="G313" i="11"/>
  <c r="E313" i="11"/>
  <c r="G312" i="11"/>
  <c r="E312" i="11"/>
  <c r="I311" i="11"/>
  <c r="G311" i="11"/>
  <c r="I310" i="11"/>
  <c r="G310" i="11"/>
  <c r="G309" i="11"/>
  <c r="E309" i="11"/>
  <c r="G308" i="11"/>
  <c r="E308" i="11"/>
  <c r="I307" i="11"/>
  <c r="G307" i="11"/>
  <c r="I306" i="11"/>
  <c r="G306" i="11"/>
  <c r="G305" i="11"/>
  <c r="E305" i="11"/>
  <c r="I304" i="11"/>
  <c r="G304" i="11"/>
  <c r="E304" i="11"/>
  <c r="I303" i="11"/>
  <c r="G303" i="11"/>
  <c r="E303" i="11"/>
  <c r="I302" i="11"/>
  <c r="G302" i="11"/>
  <c r="E302" i="11"/>
  <c r="I301" i="11"/>
  <c r="G301" i="11"/>
  <c r="E301" i="11"/>
  <c r="I300" i="11"/>
  <c r="G300" i="11"/>
  <c r="E300" i="11"/>
  <c r="I299" i="11"/>
  <c r="G299" i="11"/>
  <c r="E299" i="11"/>
  <c r="I298" i="11"/>
  <c r="G298" i="11"/>
  <c r="E298" i="11"/>
  <c r="I297" i="11"/>
  <c r="G297" i="11"/>
  <c r="E297" i="11"/>
  <c r="I296" i="11"/>
  <c r="G296" i="11"/>
  <c r="E296" i="11"/>
  <c r="I295" i="11"/>
  <c r="G295" i="11"/>
  <c r="E295" i="11"/>
  <c r="I294" i="11"/>
  <c r="G294" i="11"/>
  <c r="E294" i="11"/>
  <c r="I293" i="11"/>
  <c r="G293" i="11"/>
  <c r="E293" i="11"/>
  <c r="I292" i="11"/>
  <c r="G292" i="11"/>
  <c r="E292" i="11"/>
  <c r="I291" i="11"/>
  <c r="G291" i="11"/>
  <c r="E291" i="11"/>
  <c r="I290" i="11"/>
  <c r="G290" i="11"/>
  <c r="E290" i="11"/>
  <c r="I289" i="11"/>
  <c r="G289" i="11"/>
  <c r="E289" i="11"/>
  <c r="I288" i="11"/>
  <c r="G288" i="11"/>
  <c r="E288" i="11"/>
  <c r="I287" i="11"/>
  <c r="G287" i="11"/>
  <c r="E287" i="11"/>
  <c r="I286" i="11"/>
  <c r="G286" i="11"/>
  <c r="E286" i="11"/>
  <c r="I285" i="11"/>
  <c r="G285" i="11"/>
  <c r="E285" i="11"/>
  <c r="I284" i="11"/>
  <c r="G284" i="11"/>
  <c r="E284" i="11"/>
  <c r="I283" i="11"/>
  <c r="G283" i="11"/>
  <c r="E283" i="11"/>
  <c r="I282" i="11"/>
  <c r="G282" i="11"/>
  <c r="E282" i="11"/>
  <c r="I281" i="11"/>
  <c r="G281" i="11"/>
  <c r="E281" i="11"/>
  <c r="I280" i="11"/>
  <c r="G280" i="11"/>
  <c r="E280" i="11"/>
  <c r="I279" i="11"/>
  <c r="G279" i="11"/>
  <c r="E279" i="11"/>
  <c r="I278" i="11"/>
  <c r="G278" i="11"/>
  <c r="E278" i="11"/>
  <c r="I277" i="11"/>
  <c r="G277" i="11"/>
  <c r="E277" i="11"/>
  <c r="I276" i="11"/>
  <c r="G276" i="11"/>
  <c r="E276" i="11"/>
  <c r="I275" i="11"/>
  <c r="G275" i="11"/>
  <c r="E275" i="11"/>
  <c r="I274" i="11"/>
  <c r="G274" i="11"/>
  <c r="E274" i="11"/>
  <c r="I273" i="11"/>
  <c r="G273" i="11"/>
  <c r="E273" i="11"/>
  <c r="I272" i="11"/>
  <c r="G272" i="11"/>
  <c r="E272" i="11"/>
  <c r="I271" i="11"/>
  <c r="G271" i="11"/>
  <c r="E271" i="11"/>
  <c r="I270" i="11"/>
  <c r="G270" i="11"/>
  <c r="E270" i="11"/>
  <c r="I269" i="11"/>
  <c r="G269" i="11"/>
  <c r="E269" i="11"/>
  <c r="I268" i="11"/>
  <c r="G268" i="11"/>
  <c r="E268" i="11"/>
  <c r="I267" i="11"/>
  <c r="G267" i="11"/>
  <c r="E267" i="11"/>
  <c r="I266" i="11"/>
  <c r="G266" i="11"/>
  <c r="E266" i="11"/>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118" i="7" s="1"/>
  <c r="G36" i="11"/>
  <c r="G117" i="7" s="1"/>
  <c r="G35" i="11"/>
  <c r="G116" i="7" s="1"/>
  <c r="G34" i="11"/>
  <c r="G115" i="7" s="1"/>
  <c r="G33" i="11"/>
  <c r="G114" i="7" s="1"/>
  <c r="G32" i="11"/>
  <c r="G113" i="7" s="1"/>
  <c r="G31" i="11"/>
  <c r="G112" i="7" s="1"/>
  <c r="G30" i="11"/>
  <c r="G111" i="7" s="1"/>
  <c r="G29" i="11"/>
  <c r="G110" i="7" s="1"/>
  <c r="G28" i="11"/>
  <c r="G109" i="7" s="1"/>
  <c r="G27" i="11"/>
  <c r="G108" i="7" s="1"/>
  <c r="G26" i="11"/>
  <c r="G107" i="7" s="1"/>
  <c r="I318" i="11" l="1"/>
  <c r="I319" i="11"/>
  <c r="E325" i="11"/>
  <c r="E320" i="11"/>
  <c r="E316" i="11"/>
  <c r="L12" i="11"/>
  <c r="E323" i="11"/>
  <c r="E317" i="11"/>
  <c r="I305" i="11"/>
  <c r="E307" i="11"/>
  <c r="I309" i="11"/>
  <c r="E311" i="11"/>
  <c r="I313" i="11"/>
  <c r="E315" i="11"/>
  <c r="I317" i="11"/>
  <c r="E319" i="11"/>
  <c r="I323" i="11"/>
  <c r="E306" i="11"/>
  <c r="I308" i="11"/>
  <c r="E310" i="11"/>
  <c r="I312" i="11"/>
  <c r="E314" i="11"/>
  <c r="I316" i="11"/>
  <c r="E318" i="11"/>
  <c r="E321" i="11"/>
  <c r="I322" i="11"/>
  <c r="E324" i="11"/>
  <c r="I325" i="11"/>
  <c r="P145" i="11"/>
  <c r="C124" i="7"/>
  <c r="I320" i="11"/>
  <c r="E322" i="11"/>
  <c r="E52" i="11"/>
  <c r="P73" i="11"/>
  <c r="P109" i="11"/>
  <c r="E130" i="11"/>
  <c r="E36" i="11"/>
  <c r="P241" i="11"/>
  <c r="E30" i="11"/>
  <c r="E46" i="11"/>
  <c r="E62" i="11"/>
  <c r="E66" i="11"/>
  <c r="E114" i="11"/>
  <c r="D26" i="11"/>
  <c r="E107" i="7" s="1"/>
  <c r="E28" i="11"/>
  <c r="E44" i="11"/>
  <c r="E60" i="11"/>
  <c r="E72" i="11"/>
  <c r="E74" i="11"/>
  <c r="E88" i="11"/>
  <c r="P217" i="11"/>
  <c r="P325" i="11"/>
  <c r="E38" i="11"/>
  <c r="E54" i="11"/>
  <c r="E80" i="11"/>
  <c r="P133" i="11"/>
  <c r="E146" i="11"/>
  <c r="E264" i="11"/>
  <c r="E262" i="11"/>
  <c r="E260" i="11"/>
  <c r="E258" i="11"/>
  <c r="E256" i="11"/>
  <c r="E254" i="11"/>
  <c r="E252" i="11"/>
  <c r="E263" i="11"/>
  <c r="E255" i="11"/>
  <c r="E265" i="11"/>
  <c r="E257" i="11"/>
  <c r="E249" i="11"/>
  <c r="E247" i="11"/>
  <c r="E245" i="11"/>
  <c r="E243" i="11"/>
  <c r="E241" i="11"/>
  <c r="E239" i="11"/>
  <c r="E237" i="11"/>
  <c r="E235" i="11"/>
  <c r="E233" i="11"/>
  <c r="E231" i="11"/>
  <c r="E229" i="11"/>
  <c r="E227" i="11"/>
  <c r="E225" i="11"/>
  <c r="E223" i="11"/>
  <c r="E221" i="11"/>
  <c r="E219" i="11"/>
  <c r="E217" i="11"/>
  <c r="E215" i="11"/>
  <c r="E213" i="11"/>
  <c r="E211" i="11"/>
  <c r="E209" i="11"/>
  <c r="E207" i="11"/>
  <c r="E205" i="11"/>
  <c r="E203" i="11"/>
  <c r="E201" i="11"/>
  <c r="E244" i="11"/>
  <c r="E236" i="11"/>
  <c r="E228" i="11"/>
  <c r="E220" i="11"/>
  <c r="E212" i="11"/>
  <c r="E199" i="11"/>
  <c r="E197" i="11"/>
  <c r="E195" i="11"/>
  <c r="E193" i="11"/>
  <c r="E191" i="11"/>
  <c r="E189" i="11"/>
  <c r="E187" i="11"/>
  <c r="E185" i="11"/>
  <c r="E183" i="11"/>
  <c r="E181" i="11"/>
  <c r="E179" i="11"/>
  <c r="E177" i="11"/>
  <c r="E175" i="11"/>
  <c r="E173" i="11"/>
  <c r="E171" i="11"/>
  <c r="E169" i="11"/>
  <c r="E167" i="11"/>
  <c r="E259" i="11"/>
  <c r="E246" i="11"/>
  <c r="E238" i="11"/>
  <c r="E230" i="11"/>
  <c r="E222" i="11"/>
  <c r="E214" i="11"/>
  <c r="E210" i="11"/>
  <c r="E208" i="11"/>
  <c r="E206" i="11"/>
  <c r="E248" i="11"/>
  <c r="E242" i="11"/>
  <c r="E240" i="11"/>
  <c r="E234" i="11"/>
  <c r="E226" i="11"/>
  <c r="E196" i="11"/>
  <c r="E188" i="11"/>
  <c r="E180" i="11"/>
  <c r="E172" i="11"/>
  <c r="E165" i="11"/>
  <c r="E158" i="11"/>
  <c r="E154" i="11"/>
  <c r="E153" i="11"/>
  <c r="E261" i="11"/>
  <c r="E253" i="11"/>
  <c r="E202" i="11"/>
  <c r="E198" i="11"/>
  <c r="E190" i="11"/>
  <c r="E182" i="11"/>
  <c r="E174" i="11"/>
  <c r="E166" i="11"/>
  <c r="E160" i="11"/>
  <c r="E159" i="11"/>
  <c r="E156" i="11"/>
  <c r="E155" i="11"/>
  <c r="E151" i="11"/>
  <c r="E149" i="11"/>
  <c r="E147" i="11"/>
  <c r="E145" i="11"/>
  <c r="E143" i="11"/>
  <c r="E141" i="11"/>
  <c r="E139" i="11"/>
  <c r="E137" i="11"/>
  <c r="E135" i="11"/>
  <c r="E133" i="11"/>
  <c r="E131" i="11"/>
  <c r="E129" i="11"/>
  <c r="E127" i="11"/>
  <c r="E125" i="11"/>
  <c r="E123" i="11"/>
  <c r="E121" i="11"/>
  <c r="E119" i="11"/>
  <c r="E117" i="11"/>
  <c r="E115" i="11"/>
  <c r="E113" i="11"/>
  <c r="E111" i="11"/>
  <c r="E109" i="11"/>
  <c r="E107" i="11"/>
  <c r="E105" i="11"/>
  <c r="E103" i="11"/>
  <c r="E101" i="11"/>
  <c r="E99" i="11"/>
  <c r="E97" i="11"/>
  <c r="E95" i="11"/>
  <c r="E93" i="11"/>
  <c r="E91" i="11"/>
  <c r="E89" i="11"/>
  <c r="E87" i="11"/>
  <c r="E85" i="11"/>
  <c r="E83" i="11"/>
  <c r="E81" i="11"/>
  <c r="E79" i="11"/>
  <c r="E77" i="11"/>
  <c r="E75" i="11"/>
  <c r="E73" i="11"/>
  <c r="E71" i="11"/>
  <c r="E69" i="11"/>
  <c r="E67" i="11"/>
  <c r="E65" i="11"/>
  <c r="E63" i="11"/>
  <c r="E61" i="11"/>
  <c r="E194" i="11"/>
  <c r="E192" i="11"/>
  <c r="E186" i="11"/>
  <c r="E178" i="11"/>
  <c r="E164" i="11"/>
  <c r="E148" i="11"/>
  <c r="E140" i="11"/>
  <c r="E132" i="11"/>
  <c r="E124" i="11"/>
  <c r="E116" i="11"/>
  <c r="E108" i="11"/>
  <c r="E100" i="11"/>
  <c r="E92" i="11"/>
  <c r="E84" i="11"/>
  <c r="E76" i="11"/>
  <c r="E68" i="11"/>
  <c r="E59" i="11"/>
  <c r="E57" i="11"/>
  <c r="E55" i="11"/>
  <c r="E53" i="11"/>
  <c r="E51" i="11"/>
  <c r="E49" i="11"/>
  <c r="E47" i="11"/>
  <c r="E45" i="11"/>
  <c r="E43" i="11"/>
  <c r="E41" i="11"/>
  <c r="E39" i="11"/>
  <c r="E37" i="11"/>
  <c r="E35" i="11"/>
  <c r="E33" i="11"/>
  <c r="E31" i="11"/>
  <c r="E29" i="11"/>
  <c r="E27" i="11"/>
  <c r="K26" i="11"/>
  <c r="I107" i="7" s="1"/>
  <c r="E232" i="11"/>
  <c r="E176" i="11"/>
  <c r="E170" i="11"/>
  <c r="E168" i="11"/>
  <c r="E161" i="11"/>
  <c r="E152" i="11"/>
  <c r="E144" i="11"/>
  <c r="E136" i="11"/>
  <c r="E120" i="11"/>
  <c r="E250" i="11"/>
  <c r="E218" i="11"/>
  <c r="E204" i="11"/>
  <c r="E200" i="11"/>
  <c r="E163" i="11"/>
  <c r="E162" i="11"/>
  <c r="E150" i="11"/>
  <c r="E142" i="11"/>
  <c r="E134" i="11"/>
  <c r="E126" i="11"/>
  <c r="E118" i="11"/>
  <c r="E110" i="11"/>
  <c r="E102" i="11"/>
  <c r="E94" i="11"/>
  <c r="E86" i="11"/>
  <c r="E78" i="11"/>
  <c r="E70" i="11"/>
  <c r="H25" i="11"/>
  <c r="E251" i="11"/>
  <c r="E216" i="11"/>
  <c r="E184" i="11"/>
  <c r="E157" i="11"/>
  <c r="E128" i="11"/>
  <c r="E112" i="11"/>
  <c r="E104" i="11"/>
  <c r="E34" i="11"/>
  <c r="E42" i="11"/>
  <c r="E58" i="11"/>
  <c r="P85" i="11"/>
  <c r="E98" i="11"/>
  <c r="E138" i="11"/>
  <c r="E224" i="11"/>
  <c r="P121" i="11"/>
  <c r="P49" i="11"/>
  <c r="E26" i="11"/>
  <c r="E50" i="11"/>
  <c r="P37" i="11"/>
  <c r="E32" i="11"/>
  <c r="E40" i="11"/>
  <c r="E48" i="11"/>
  <c r="P61" i="11"/>
  <c r="E56" i="11"/>
  <c r="E64" i="11"/>
  <c r="E82" i="11"/>
  <c r="P97" i="11"/>
  <c r="E90" i="11"/>
  <c r="E96" i="11"/>
  <c r="E106" i="11"/>
  <c r="E122" i="11"/>
  <c r="P181" i="11"/>
  <c r="N277" i="11"/>
  <c r="P289" i="11"/>
  <c r="P169" i="11"/>
  <c r="G326" i="11"/>
  <c r="P205" i="11"/>
  <c r="P157" i="11"/>
  <c r="P229" i="11"/>
  <c r="P193" i="11"/>
  <c r="N289" i="11"/>
  <c r="P253" i="11"/>
  <c r="P277" i="11"/>
  <c r="P301" i="11"/>
  <c r="P265" i="11"/>
  <c r="P313" i="11"/>
  <c r="N301" i="1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92" i="7"/>
  <c r="D91" i="7"/>
  <c r="E91" i="7" s="1"/>
  <c r="D94" i="7"/>
  <c r="E94" i="7" s="1"/>
  <c r="D93" i="7"/>
  <c r="E93" i="7" s="1"/>
  <c r="C20" i="10"/>
  <c r="C19" i="10"/>
  <c r="C15" i="10"/>
  <c r="F26" i="11" l="1"/>
  <c r="F107" i="7" s="1"/>
  <c r="J26" i="11"/>
  <c r="N313" i="11"/>
  <c r="N325" i="11"/>
  <c r="N253" i="11"/>
  <c r="N181" i="11"/>
  <c r="N85" i="11"/>
  <c r="N157" i="11"/>
  <c r="N109" i="11"/>
  <c r="N49" i="11"/>
  <c r="N73" i="11"/>
  <c r="N97" i="11"/>
  <c r="N145" i="11"/>
  <c r="N229" i="11"/>
  <c r="N193" i="11"/>
  <c r="N241" i="11"/>
  <c r="E326" i="11"/>
  <c r="N37" i="11"/>
  <c r="N205" i="11"/>
  <c r="N217" i="11"/>
  <c r="N265" i="11"/>
  <c r="N133" i="11"/>
  <c r="N61" i="11"/>
  <c r="N121" i="11"/>
  <c r="N169" i="11"/>
  <c r="H26" i="11" l="1"/>
  <c r="H107" i="7" s="1"/>
  <c r="C26" i="11"/>
  <c r="D107" i="7" s="1"/>
  <c r="C18" i="10"/>
  <c r="C17" i="10"/>
  <c r="C16" i="10"/>
  <c r="C14" i="10"/>
  <c r="C11" i="10"/>
  <c r="C10" i="10"/>
  <c r="C9" i="10"/>
  <c r="C8" i="10"/>
  <c r="C7" i="10"/>
  <c r="C6" i="10"/>
  <c r="C5" i="10"/>
  <c r="C4" i="10"/>
  <c r="L13" i="10" s="1"/>
  <c r="C3" i="10"/>
  <c r="E320" i="10" s="1"/>
  <c r="C2" i="10"/>
  <c r="P324" i="10"/>
  <c r="E310" i="10"/>
  <c r="E292" i="10"/>
  <c r="E276" i="10"/>
  <c r="P276" i="10"/>
  <c r="L12" i="10"/>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B26" i="11" l="1"/>
  <c r="C107" i="7" s="1"/>
  <c r="I26" i="11"/>
  <c r="E278" i="10"/>
  <c r="E280" i="10"/>
  <c r="E296" i="10"/>
  <c r="E314" i="10"/>
  <c r="E266" i="10"/>
  <c r="E282" i="10"/>
  <c r="E298" i="10"/>
  <c r="E315" i="10"/>
  <c r="E265" i="10"/>
  <c r="E268" i="10"/>
  <c r="E284" i="10"/>
  <c r="E300" i="10"/>
  <c r="E317" i="10"/>
  <c r="E294" i="10"/>
  <c r="E270" i="10"/>
  <c r="E286" i="10"/>
  <c r="E302" i="10"/>
  <c r="E319" i="10"/>
  <c r="E272" i="10"/>
  <c r="E288" i="10"/>
  <c r="E306" i="10"/>
  <c r="E321" i="10"/>
  <c r="E274" i="10"/>
  <c r="E290" i="10"/>
  <c r="E308" i="10"/>
  <c r="E322" i="10"/>
  <c r="E318" i="10"/>
  <c r="E324" i="10"/>
  <c r="C12" i="10"/>
  <c r="I24" i="10" s="1"/>
  <c r="E304" i="10"/>
  <c r="E312" i="10"/>
  <c r="E316" i="10"/>
  <c r="I267" i="10"/>
  <c r="I271" i="10"/>
  <c r="I275" i="10"/>
  <c r="I279" i="10"/>
  <c r="I283" i="10"/>
  <c r="I287" i="10"/>
  <c r="I291" i="10"/>
  <c r="I295" i="10"/>
  <c r="I299" i="10"/>
  <c r="I303" i="10"/>
  <c r="I307" i="10"/>
  <c r="I311" i="10"/>
  <c r="I315" i="10"/>
  <c r="I319" i="10"/>
  <c r="I323" i="10"/>
  <c r="I268" i="10"/>
  <c r="I276" i="10"/>
  <c r="I280" i="10"/>
  <c r="I284" i="10"/>
  <c r="I292" i="10"/>
  <c r="I300" i="10"/>
  <c r="I308" i="10"/>
  <c r="I316" i="10"/>
  <c r="I324" i="10"/>
  <c r="I274" i="10"/>
  <c r="I282" i="10"/>
  <c r="I294" i="10"/>
  <c r="I306" i="10"/>
  <c r="I322" i="10"/>
  <c r="I272" i="10"/>
  <c r="I288" i="10"/>
  <c r="I296" i="10"/>
  <c r="I304" i="10"/>
  <c r="I312" i="10"/>
  <c r="I320" i="10"/>
  <c r="I266" i="10"/>
  <c r="I278" i="10"/>
  <c r="I290" i="10"/>
  <c r="I302" i="10"/>
  <c r="I314" i="10"/>
  <c r="I265" i="10"/>
  <c r="I269" i="10"/>
  <c r="I273" i="10"/>
  <c r="I277" i="10"/>
  <c r="I281" i="10"/>
  <c r="I285" i="10"/>
  <c r="I289" i="10"/>
  <c r="I293" i="10"/>
  <c r="I297" i="10"/>
  <c r="I301" i="10"/>
  <c r="I305" i="10"/>
  <c r="I309" i="10"/>
  <c r="I313" i="10"/>
  <c r="I317" i="10"/>
  <c r="I321" i="10"/>
  <c r="I270" i="10"/>
  <c r="I286" i="10"/>
  <c r="I298" i="10"/>
  <c r="I310" i="10"/>
  <c r="I318" i="10"/>
  <c r="B24" i="10"/>
  <c r="D25" i="10" s="1"/>
  <c r="E267" i="10"/>
  <c r="E269" i="10"/>
  <c r="E271" i="10"/>
  <c r="E273" i="10"/>
  <c r="E275" i="10"/>
  <c r="E277" i="10"/>
  <c r="E279" i="10"/>
  <c r="E281" i="10"/>
  <c r="E283" i="10"/>
  <c r="E285" i="10"/>
  <c r="E287" i="10"/>
  <c r="E289" i="10"/>
  <c r="E291" i="10"/>
  <c r="E293" i="10"/>
  <c r="E295" i="10"/>
  <c r="E297" i="10"/>
  <c r="E299" i="10"/>
  <c r="E301" i="10"/>
  <c r="E303" i="10"/>
  <c r="E305" i="10"/>
  <c r="E307" i="10"/>
  <c r="E309" i="10"/>
  <c r="E311" i="10"/>
  <c r="E313" i="10"/>
  <c r="E323" i="10"/>
  <c r="P132" i="10"/>
  <c r="P156" i="10"/>
  <c r="P168" i="10"/>
  <c r="P180" i="10"/>
  <c r="P216" i="10"/>
  <c r="P228" i="10"/>
  <c r="P240" i="10"/>
  <c r="P264" i="10"/>
  <c r="P300" i="10"/>
  <c r="P312" i="10"/>
  <c r="K69" i="10"/>
  <c r="J98" i="10"/>
  <c r="K83" i="10"/>
  <c r="K93" i="10"/>
  <c r="J118" i="10"/>
  <c r="K25" i="10"/>
  <c r="P60" i="10"/>
  <c r="P84" i="10"/>
  <c r="P108" i="10"/>
  <c r="P120" i="10"/>
  <c r="P192" i="10"/>
  <c r="F25" i="10"/>
  <c r="E32" i="10"/>
  <c r="K49" i="10"/>
  <c r="K73" i="10"/>
  <c r="K81" i="10"/>
  <c r="J97" i="10"/>
  <c r="J106" i="10"/>
  <c r="J122" i="10"/>
  <c r="P252" i="10"/>
  <c r="E26" i="10"/>
  <c r="E34" i="10"/>
  <c r="P48" i="10"/>
  <c r="K55" i="10"/>
  <c r="P72" i="10"/>
  <c r="K63" i="10"/>
  <c r="K71" i="10"/>
  <c r="P96" i="10"/>
  <c r="K87" i="10"/>
  <c r="K95" i="10"/>
  <c r="J110" i="10"/>
  <c r="F114" i="10"/>
  <c r="H114" i="10" s="1"/>
  <c r="I114" i="10" s="1"/>
  <c r="P144" i="10"/>
  <c r="P288" i="10"/>
  <c r="F50" i="10"/>
  <c r="J50" i="10"/>
  <c r="F52" i="10"/>
  <c r="J52" i="10"/>
  <c r="F54" i="10"/>
  <c r="J54" i="10"/>
  <c r="F56" i="10"/>
  <c r="J56" i="10"/>
  <c r="F58" i="10"/>
  <c r="J58" i="10"/>
  <c r="F60" i="10"/>
  <c r="J60" i="10"/>
  <c r="F62" i="10"/>
  <c r="J62" i="10"/>
  <c r="F64" i="10"/>
  <c r="J64" i="10"/>
  <c r="F66" i="10"/>
  <c r="J66" i="10"/>
  <c r="F68" i="10"/>
  <c r="J68" i="10"/>
  <c r="F70" i="10"/>
  <c r="J70" i="10"/>
  <c r="F72" i="10"/>
  <c r="J72" i="10"/>
  <c r="F74" i="10"/>
  <c r="J74" i="10"/>
  <c r="F76" i="10"/>
  <c r="J76" i="10"/>
  <c r="F78" i="10"/>
  <c r="J78" i="10"/>
  <c r="F80" i="10"/>
  <c r="J80" i="10"/>
  <c r="F82" i="10"/>
  <c r="J82" i="10"/>
  <c r="F84" i="10"/>
  <c r="J84" i="10"/>
  <c r="F86" i="10"/>
  <c r="J86" i="10"/>
  <c r="F88" i="10"/>
  <c r="J88" i="10"/>
  <c r="F90" i="10"/>
  <c r="J90" i="10"/>
  <c r="F92" i="10"/>
  <c r="J92" i="10"/>
  <c r="F94" i="10"/>
  <c r="J94" i="10"/>
  <c r="F96" i="10"/>
  <c r="J96" i="10"/>
  <c r="F97" i="10"/>
  <c r="F100" i="10"/>
  <c r="J104" i="10"/>
  <c r="F108" i="10"/>
  <c r="F112" i="10"/>
  <c r="J116" i="10"/>
  <c r="F120" i="10"/>
  <c r="F124" i="10"/>
  <c r="J128" i="10"/>
  <c r="F132" i="10"/>
  <c r="F136" i="10"/>
  <c r="J138" i="10"/>
  <c r="J140" i="10"/>
  <c r="J142" i="10"/>
  <c r="P204" i="10"/>
  <c r="J143" i="10"/>
  <c r="J141" i="10"/>
  <c r="J139" i="10"/>
  <c r="J135" i="10"/>
  <c r="J133" i="10"/>
  <c r="J131" i="10"/>
  <c r="J129" i="10"/>
  <c r="J127" i="10"/>
  <c r="J125" i="10"/>
  <c r="J123" i="10"/>
  <c r="J121" i="10"/>
  <c r="J119" i="10"/>
  <c r="J117" i="10"/>
  <c r="J115" i="10"/>
  <c r="J113" i="10"/>
  <c r="J111" i="10"/>
  <c r="J109" i="10"/>
  <c r="J107" i="10"/>
  <c r="J105" i="10"/>
  <c r="J103" i="10"/>
  <c r="J101" i="10"/>
  <c r="J99" i="10"/>
  <c r="J137" i="10"/>
  <c r="F143" i="10"/>
  <c r="F141" i="10"/>
  <c r="F139" i="10"/>
  <c r="F137" i="10"/>
  <c r="F135" i="10"/>
  <c r="F133" i="10"/>
  <c r="F131" i="10"/>
  <c r="F129" i="10"/>
  <c r="F127" i="10"/>
  <c r="F125" i="10"/>
  <c r="F123" i="10"/>
  <c r="F121" i="10"/>
  <c r="F119" i="10"/>
  <c r="F117" i="10"/>
  <c r="F115" i="10"/>
  <c r="F113" i="10"/>
  <c r="F111" i="10"/>
  <c r="F109" i="10"/>
  <c r="F107" i="10"/>
  <c r="F105" i="10"/>
  <c r="F103" i="10"/>
  <c r="F101" i="10"/>
  <c r="F99" i="10"/>
  <c r="F142" i="10"/>
  <c r="F140" i="10"/>
  <c r="F138" i="10"/>
  <c r="E25" i="10"/>
  <c r="E27" i="10"/>
  <c r="E29" i="10"/>
  <c r="E31" i="10"/>
  <c r="E33" i="10"/>
  <c r="E35" i="10"/>
  <c r="K50" i="10"/>
  <c r="K52" i="10"/>
  <c r="K54" i="10"/>
  <c r="K56" i="10"/>
  <c r="K58" i="10"/>
  <c r="K60" i="10"/>
  <c r="K62" i="10"/>
  <c r="K64" i="10"/>
  <c r="K66" i="10"/>
  <c r="K68" i="10"/>
  <c r="K70" i="10"/>
  <c r="K72" i="10"/>
  <c r="K74" i="10"/>
  <c r="K76" i="10"/>
  <c r="K78" i="10"/>
  <c r="K80" i="10"/>
  <c r="K82" i="10"/>
  <c r="K84" i="10"/>
  <c r="K86" i="10"/>
  <c r="K88" i="10"/>
  <c r="K90" i="10"/>
  <c r="K92" i="10"/>
  <c r="K94" i="10"/>
  <c r="F98" i="10"/>
  <c r="J102" i="10"/>
  <c r="F106" i="10"/>
  <c r="F110" i="10"/>
  <c r="J114" i="10"/>
  <c r="F118" i="10"/>
  <c r="F122" i="10"/>
  <c r="J126" i="10"/>
  <c r="F130" i="10"/>
  <c r="F134" i="10"/>
  <c r="K142" i="10"/>
  <c r="K140" i="10"/>
  <c r="K138" i="10"/>
  <c r="K143" i="10"/>
  <c r="K141" i="10"/>
  <c r="K139" i="10"/>
  <c r="K135" i="10"/>
  <c r="K133" i="10"/>
  <c r="K131" i="10"/>
  <c r="K129" i="10"/>
  <c r="K127" i="10"/>
  <c r="K125" i="10"/>
  <c r="K123" i="10"/>
  <c r="K121" i="10"/>
  <c r="K119" i="10"/>
  <c r="K117" i="10"/>
  <c r="K115" i="10"/>
  <c r="K113" i="10"/>
  <c r="K111" i="10"/>
  <c r="K109" i="10"/>
  <c r="K107" i="10"/>
  <c r="K105" i="10"/>
  <c r="K103" i="10"/>
  <c r="K101" i="10"/>
  <c r="K99" i="10"/>
  <c r="K97" i="10"/>
  <c r="K137" i="10"/>
  <c r="K136" i="10"/>
  <c r="K134" i="10"/>
  <c r="K132" i="10"/>
  <c r="K130" i="10"/>
  <c r="K128" i="10"/>
  <c r="K126" i="10"/>
  <c r="K124" i="10"/>
  <c r="K122" i="10"/>
  <c r="K120" i="10"/>
  <c r="K118" i="10"/>
  <c r="K116" i="10"/>
  <c r="K114" i="10"/>
  <c r="K112" i="10"/>
  <c r="K110" i="10"/>
  <c r="K108" i="10"/>
  <c r="K106" i="10"/>
  <c r="K104" i="10"/>
  <c r="K102" i="10"/>
  <c r="K100" i="10"/>
  <c r="K98" i="10"/>
  <c r="H24" i="10"/>
  <c r="F49" i="10"/>
  <c r="J49" i="10"/>
  <c r="F51" i="10"/>
  <c r="J51" i="10"/>
  <c r="F53" i="10"/>
  <c r="J53" i="10"/>
  <c r="F55" i="10"/>
  <c r="J55" i="10"/>
  <c r="F57" i="10"/>
  <c r="J57" i="10"/>
  <c r="F59" i="10"/>
  <c r="J59" i="10"/>
  <c r="F61" i="10"/>
  <c r="J61" i="10"/>
  <c r="F63" i="10"/>
  <c r="J63" i="10"/>
  <c r="F65" i="10"/>
  <c r="J65" i="10"/>
  <c r="F67" i="10"/>
  <c r="J67" i="10"/>
  <c r="F69" i="10"/>
  <c r="J69" i="10"/>
  <c r="F71" i="10"/>
  <c r="J71" i="10"/>
  <c r="F73" i="10"/>
  <c r="J73" i="10"/>
  <c r="F75" i="10"/>
  <c r="J75" i="10"/>
  <c r="F77" i="10"/>
  <c r="J77" i="10"/>
  <c r="F79" i="10"/>
  <c r="J79" i="10"/>
  <c r="F81" i="10"/>
  <c r="J81" i="10"/>
  <c r="F83" i="10"/>
  <c r="J83" i="10"/>
  <c r="F85" i="10"/>
  <c r="J85" i="10"/>
  <c r="F87" i="10"/>
  <c r="J87" i="10"/>
  <c r="F89" i="10"/>
  <c r="J89" i="10"/>
  <c r="F91" i="10"/>
  <c r="J91" i="10"/>
  <c r="F93" i="10"/>
  <c r="J93" i="10"/>
  <c r="F95" i="10"/>
  <c r="J95" i="10"/>
  <c r="J100" i="10"/>
  <c r="F104" i="10"/>
  <c r="J108" i="10"/>
  <c r="J112" i="10"/>
  <c r="F116" i="10"/>
  <c r="J120" i="10"/>
  <c r="J124" i="10"/>
  <c r="F128" i="10"/>
  <c r="J132" i="10"/>
  <c r="J136" i="10"/>
  <c r="J134" i="10" l="1"/>
  <c r="J25" i="10"/>
  <c r="K75" i="10"/>
  <c r="F102" i="10"/>
  <c r="H102" i="10" s="1"/>
  <c r="I102" i="10" s="1"/>
  <c r="D27" i="11"/>
  <c r="E108" i="7" s="1"/>
  <c r="K61" i="10"/>
  <c r="K89" i="10"/>
  <c r="K77" i="10"/>
  <c r="K53" i="10"/>
  <c r="K79" i="10"/>
  <c r="K65" i="10"/>
  <c r="K67" i="10"/>
  <c r="J130" i="10"/>
  <c r="R132" i="10" s="1"/>
  <c r="F126" i="10"/>
  <c r="H126" i="10" s="1"/>
  <c r="I126" i="10" s="1"/>
  <c r="K57" i="10"/>
  <c r="K51" i="10"/>
  <c r="K59" i="10"/>
  <c r="K85" i="10"/>
  <c r="E36" i="10"/>
  <c r="E30" i="10"/>
  <c r="K96" i="10"/>
  <c r="K91" i="10"/>
  <c r="E28" i="10"/>
  <c r="J27" i="11"/>
  <c r="F27" i="11"/>
  <c r="K27" i="11"/>
  <c r="K24" i="10"/>
  <c r="J24" i="10"/>
  <c r="H25" i="10"/>
  <c r="I25" i="10" s="1"/>
  <c r="N312" i="10"/>
  <c r="N288" i="10"/>
  <c r="N276" i="10"/>
  <c r="N324" i="10"/>
  <c r="N300" i="10"/>
  <c r="G325" i="10"/>
  <c r="R108" i="10"/>
  <c r="G7" i="10"/>
  <c r="C25" i="10"/>
  <c r="B25" i="10" s="1"/>
  <c r="D26" i="10" s="1"/>
  <c r="R96" i="10"/>
  <c r="S132" i="10"/>
  <c r="H110" i="10"/>
  <c r="I110" i="10" s="1"/>
  <c r="H142" i="10"/>
  <c r="I142" i="10" s="1"/>
  <c r="H101" i="10"/>
  <c r="I101" i="10" s="1"/>
  <c r="H133" i="10"/>
  <c r="I133" i="10" s="1"/>
  <c r="H88" i="10"/>
  <c r="I88" i="10" s="1"/>
  <c r="H76" i="10"/>
  <c r="I76" i="10" s="1"/>
  <c r="H64" i="10"/>
  <c r="I64" i="10" s="1"/>
  <c r="H56" i="10"/>
  <c r="I56" i="10" s="1"/>
  <c r="H116" i="10"/>
  <c r="I116" i="10" s="1"/>
  <c r="H89" i="10"/>
  <c r="I89" i="10" s="1"/>
  <c r="H77" i="10"/>
  <c r="I77" i="10" s="1"/>
  <c r="H65" i="10"/>
  <c r="I65" i="10" s="1"/>
  <c r="H53" i="10"/>
  <c r="I53" i="10" s="1"/>
  <c r="H122" i="10"/>
  <c r="I122" i="10" s="1"/>
  <c r="H106" i="10"/>
  <c r="I106" i="10" s="1"/>
  <c r="H103" i="10"/>
  <c r="I103" i="10" s="1"/>
  <c r="H111" i="10"/>
  <c r="I111" i="10" s="1"/>
  <c r="H119" i="10"/>
  <c r="I119" i="10" s="1"/>
  <c r="H127" i="10"/>
  <c r="I127" i="10" s="1"/>
  <c r="H135" i="10"/>
  <c r="I135" i="10" s="1"/>
  <c r="H141" i="10"/>
  <c r="I141" i="10" s="1"/>
  <c r="H132" i="10"/>
  <c r="I132" i="10" s="1"/>
  <c r="H100" i="10"/>
  <c r="I100" i="10" s="1"/>
  <c r="H117" i="10"/>
  <c r="I117" i="10" s="1"/>
  <c r="H139" i="10"/>
  <c r="I139" i="10" s="1"/>
  <c r="H120" i="10"/>
  <c r="I120" i="10" s="1"/>
  <c r="H92" i="10"/>
  <c r="I92" i="10" s="1"/>
  <c r="H80" i="10"/>
  <c r="I80" i="10" s="1"/>
  <c r="H68" i="10"/>
  <c r="I68" i="10" s="1"/>
  <c r="H60" i="10"/>
  <c r="I60" i="10" s="1"/>
  <c r="H52" i="10"/>
  <c r="I52" i="10" s="1"/>
  <c r="O96" i="10"/>
  <c r="H85" i="10"/>
  <c r="I85" i="10" s="1"/>
  <c r="O84" i="10"/>
  <c r="H73" i="10"/>
  <c r="I73" i="10" s="1"/>
  <c r="O72" i="10"/>
  <c r="H61" i="10"/>
  <c r="I61" i="10" s="1"/>
  <c r="G8" i="10"/>
  <c r="S120" i="10"/>
  <c r="H134" i="10"/>
  <c r="I134" i="10" s="1"/>
  <c r="H118" i="10"/>
  <c r="I118" i="10" s="1"/>
  <c r="H138" i="10"/>
  <c r="I138" i="10" s="1"/>
  <c r="H105" i="10"/>
  <c r="I105" i="10" s="1"/>
  <c r="H113" i="10"/>
  <c r="I113" i="10" s="1"/>
  <c r="H121" i="10"/>
  <c r="I121" i="10" s="1"/>
  <c r="H129" i="10"/>
  <c r="I129" i="10" s="1"/>
  <c r="H137" i="10"/>
  <c r="I137" i="10" s="1"/>
  <c r="H143" i="10"/>
  <c r="I143" i="10" s="1"/>
  <c r="H112" i="10"/>
  <c r="I112" i="10" s="1"/>
  <c r="O108" i="10"/>
  <c r="H97" i="10"/>
  <c r="I97" i="10" s="1"/>
  <c r="H94" i="10"/>
  <c r="I94" i="10" s="1"/>
  <c r="H90" i="10"/>
  <c r="I90" i="10" s="1"/>
  <c r="H86" i="10"/>
  <c r="I86" i="10" s="1"/>
  <c r="H82" i="10"/>
  <c r="I82" i="10" s="1"/>
  <c r="H78" i="10"/>
  <c r="I78" i="10" s="1"/>
  <c r="H74" i="10"/>
  <c r="I74" i="10" s="1"/>
  <c r="H70" i="10"/>
  <c r="I70" i="10" s="1"/>
  <c r="H66" i="10"/>
  <c r="I66" i="10" s="1"/>
  <c r="H62" i="10"/>
  <c r="I62" i="10" s="1"/>
  <c r="H58" i="10"/>
  <c r="I58" i="10" s="1"/>
  <c r="H54" i="10"/>
  <c r="I54" i="10" s="1"/>
  <c r="H50" i="10"/>
  <c r="I50" i="10" s="1"/>
  <c r="H104" i="10"/>
  <c r="I104" i="10" s="1"/>
  <c r="R84" i="10"/>
  <c r="R72" i="10"/>
  <c r="R60" i="10"/>
  <c r="S108" i="10"/>
  <c r="O120" i="10"/>
  <c r="H109" i="10"/>
  <c r="I109" i="10" s="1"/>
  <c r="H125" i="10"/>
  <c r="I125" i="10" s="1"/>
  <c r="H136" i="10"/>
  <c r="I136" i="10" s="1"/>
  <c r="H96" i="10"/>
  <c r="I96" i="10" s="1"/>
  <c r="H84" i="10"/>
  <c r="I84" i="10" s="1"/>
  <c r="H72" i="10"/>
  <c r="I72" i="10" s="1"/>
  <c r="H93" i="10"/>
  <c r="I93" i="10" s="1"/>
  <c r="H81" i="10"/>
  <c r="I81" i="10" s="1"/>
  <c r="H69" i="10"/>
  <c r="I69" i="10" s="1"/>
  <c r="H57" i="10"/>
  <c r="I57" i="10" s="1"/>
  <c r="O60" i="10"/>
  <c r="H49" i="10"/>
  <c r="I49" i="10" s="1"/>
  <c r="H128" i="10"/>
  <c r="I128" i="10" s="1"/>
  <c r="P36" i="10"/>
  <c r="H95" i="10"/>
  <c r="I95" i="10" s="1"/>
  <c r="H91" i="10"/>
  <c r="I91" i="10" s="1"/>
  <c r="H87" i="10"/>
  <c r="I87" i="10" s="1"/>
  <c r="H83" i="10"/>
  <c r="I83" i="10" s="1"/>
  <c r="H79" i="10"/>
  <c r="I79" i="10" s="1"/>
  <c r="H75" i="10"/>
  <c r="I75" i="10" s="1"/>
  <c r="H71" i="10"/>
  <c r="I71" i="10" s="1"/>
  <c r="H67" i="10"/>
  <c r="I67" i="10" s="1"/>
  <c r="H63" i="10"/>
  <c r="I63" i="10" s="1"/>
  <c r="H59" i="10"/>
  <c r="I59" i="10" s="1"/>
  <c r="H55" i="10"/>
  <c r="I55" i="10" s="1"/>
  <c r="H51" i="10"/>
  <c r="I51" i="10" s="1"/>
  <c r="H130" i="10"/>
  <c r="I130" i="10" s="1"/>
  <c r="H98" i="10"/>
  <c r="I98" i="10" s="1"/>
  <c r="H140" i="10"/>
  <c r="I140" i="10" s="1"/>
  <c r="H99" i="10"/>
  <c r="I99" i="10" s="1"/>
  <c r="H107" i="10"/>
  <c r="I107" i="10" s="1"/>
  <c r="H115" i="10"/>
  <c r="I115" i="10" s="1"/>
  <c r="H123" i="10"/>
  <c r="I123" i="10" s="1"/>
  <c r="H131" i="10"/>
  <c r="I131" i="10" s="1"/>
  <c r="R120" i="10"/>
  <c r="H124" i="10"/>
  <c r="I124" i="10" s="1"/>
  <c r="H108" i="10"/>
  <c r="I108" i="10" s="1"/>
  <c r="S72" i="10" l="1"/>
  <c r="C27" i="11"/>
  <c r="D108" i="7" s="1"/>
  <c r="S84" i="10"/>
  <c r="S60" i="10"/>
  <c r="N36" i="10"/>
  <c r="S96" i="10"/>
  <c r="O132" i="10"/>
  <c r="H27" i="11"/>
  <c r="F108" i="7"/>
  <c r="I108" i="7"/>
  <c r="F26" i="10"/>
  <c r="K26" i="10"/>
  <c r="J26" i="10"/>
  <c r="G11" i="10"/>
  <c r="G10" i="10"/>
  <c r="G12" i="10"/>
  <c r="Q108" i="10"/>
  <c r="Q72" i="10"/>
  <c r="Q120" i="10"/>
  <c r="Q132" i="10"/>
  <c r="Q60" i="10"/>
  <c r="Q84" i="10"/>
  <c r="Q96" i="10"/>
  <c r="B27" i="11" l="1"/>
  <c r="C108" i="7" s="1"/>
  <c r="I27" i="11"/>
  <c r="H108" i="7"/>
  <c r="C26" i="10"/>
  <c r="B26" i="10" s="1"/>
  <c r="D27" i="10" s="1"/>
  <c r="H26" i="10"/>
  <c r="I26" i="10" s="1"/>
  <c r="D28" i="11" l="1"/>
  <c r="E109" i="7" s="1"/>
  <c r="K28" i="11"/>
  <c r="J28" i="11"/>
  <c r="F28" i="11"/>
  <c r="J27" i="10"/>
  <c r="F27" i="10"/>
  <c r="K27" i="10"/>
  <c r="F109" i="7" l="1"/>
  <c r="H28" i="11"/>
  <c r="I109" i="7"/>
  <c r="C28" i="11"/>
  <c r="D109" i="7" s="1"/>
  <c r="H27" i="10"/>
  <c r="I27" i="10" s="1"/>
  <c r="C27" i="10"/>
  <c r="B27" i="10" s="1"/>
  <c r="I28" i="11" l="1"/>
  <c r="H109" i="7"/>
  <c r="B28" i="11"/>
  <c r="C109" i="7" s="1"/>
  <c r="D28" i="10"/>
  <c r="D29" i="11" l="1"/>
  <c r="E110" i="7" s="1"/>
  <c r="K28" i="10"/>
  <c r="F28" i="10"/>
  <c r="J28" i="10"/>
  <c r="J29" i="11" l="1"/>
  <c r="K29" i="11"/>
  <c r="I110" i="7" s="1"/>
  <c r="F29" i="11"/>
  <c r="H29" i="11" s="1"/>
  <c r="H28" i="10"/>
  <c r="I28" i="10" s="1"/>
  <c r="C28" i="10"/>
  <c r="B28" i="10" s="1"/>
  <c r="F110" i="7" l="1"/>
  <c r="C29" i="11"/>
  <c r="D110" i="7" s="1"/>
  <c r="I29" i="11"/>
  <c r="H110" i="7"/>
  <c r="D29" i="10"/>
  <c r="B29" i="11" l="1"/>
  <c r="C110" i="7" s="1"/>
  <c r="K30" i="11"/>
  <c r="F30" i="11"/>
  <c r="F29" i="10"/>
  <c r="H29" i="10" s="1"/>
  <c r="I29" i="10" s="1"/>
  <c r="J29" i="10"/>
  <c r="K29" i="10"/>
  <c r="D30" i="11" l="1"/>
  <c r="E111" i="7" s="1"/>
  <c r="J30" i="11"/>
  <c r="F111" i="7"/>
  <c r="H30" i="11"/>
  <c r="I111" i="7"/>
  <c r="C29" i="10"/>
  <c r="B29" i="10" s="1"/>
  <c r="C30" i="11" l="1"/>
  <c r="D111" i="7" s="1"/>
  <c r="I30" i="11"/>
  <c r="H111" i="7"/>
  <c r="D30" i="10"/>
  <c r="B30" i="11" l="1"/>
  <c r="C111" i="7" s="1"/>
  <c r="F30" i="10"/>
  <c r="H30" i="10" s="1"/>
  <c r="I30" i="10" s="1"/>
  <c r="K30" i="10"/>
  <c r="J30" i="10"/>
  <c r="D31" i="11" l="1"/>
  <c r="E112" i="7" s="1"/>
  <c r="K31" i="11"/>
  <c r="I112" i="7" s="1"/>
  <c r="J31" i="11"/>
  <c r="F31" i="11"/>
  <c r="F112" i="7" s="1"/>
  <c r="C30" i="10"/>
  <c r="B30" i="10" s="1"/>
  <c r="C31" i="11" l="1"/>
  <c r="B31" i="11" s="1"/>
  <c r="D32" i="11" s="1"/>
  <c r="H31" i="11"/>
  <c r="H112" i="7" s="1"/>
  <c r="D31" i="10"/>
  <c r="C112" i="7" l="1"/>
  <c r="D112" i="7"/>
  <c r="I31" i="11"/>
  <c r="K32" i="11"/>
  <c r="I113" i="7" s="1"/>
  <c r="J32" i="11"/>
  <c r="F32" i="11"/>
  <c r="E113" i="7"/>
  <c r="K31" i="10"/>
  <c r="F31" i="10"/>
  <c r="H31" i="10" s="1"/>
  <c r="I31" i="10" s="1"/>
  <c r="J31" i="10"/>
  <c r="F113" i="7" l="1"/>
  <c r="H32" i="11"/>
  <c r="C32" i="11"/>
  <c r="D113" i="7" s="1"/>
  <c r="C31" i="10"/>
  <c r="B31" i="10" s="1"/>
  <c r="B32" i="11" l="1"/>
  <c r="C113" i="7" s="1"/>
  <c r="I32" i="11"/>
  <c r="H113" i="7"/>
  <c r="D32" i="10"/>
  <c r="D33" i="11" l="1"/>
  <c r="E114" i="7" s="1"/>
  <c r="F32" i="10"/>
  <c r="H32" i="10" s="1"/>
  <c r="I32" i="10" s="1"/>
  <c r="K32" i="10"/>
  <c r="J32" i="10"/>
  <c r="K33" i="11" l="1"/>
  <c r="I114" i="7" s="1"/>
  <c r="F33" i="11"/>
  <c r="C33" i="11" s="1"/>
  <c r="B33" i="11" s="1"/>
  <c r="J33" i="11"/>
  <c r="C32" i="10"/>
  <c r="B32" i="10" s="1"/>
  <c r="D33" i="10" s="1"/>
  <c r="F114" i="7" l="1"/>
  <c r="H33" i="11"/>
  <c r="H114" i="7" s="1"/>
  <c r="D114" i="7"/>
  <c r="C114" i="7"/>
  <c r="D34" i="11"/>
  <c r="F33" i="10"/>
  <c r="C33" i="10" s="1"/>
  <c r="B33" i="10" s="1"/>
  <c r="K33" i="10"/>
  <c r="J33" i="10"/>
  <c r="I33" i="11" l="1"/>
  <c r="F34" i="11"/>
  <c r="C34" i="11" s="1"/>
  <c r="K34" i="11"/>
  <c r="I115" i="7" s="1"/>
  <c r="J34" i="11"/>
  <c r="E115" i="7"/>
  <c r="H33" i="10"/>
  <c r="I33" i="10" s="1"/>
  <c r="D34" i="10"/>
  <c r="F115" i="7" l="1"/>
  <c r="H34" i="11"/>
  <c r="B34" i="11"/>
  <c r="D115" i="7"/>
  <c r="F34" i="10"/>
  <c r="C34" i="10" s="1"/>
  <c r="B34" i="10" s="1"/>
  <c r="K34" i="10"/>
  <c r="J34" i="10"/>
  <c r="I34" i="11" l="1"/>
  <c r="H115" i="7"/>
  <c r="C115" i="7"/>
  <c r="D35" i="11"/>
  <c r="H34" i="10"/>
  <c r="I34" i="10" s="1"/>
  <c r="D35" i="10"/>
  <c r="K35" i="11" l="1"/>
  <c r="I116" i="7" s="1"/>
  <c r="F35" i="11"/>
  <c r="C35" i="11" s="1"/>
  <c r="J35" i="11"/>
  <c r="E116" i="7"/>
  <c r="J35" i="10"/>
  <c r="F35" i="10"/>
  <c r="C35" i="10" s="1"/>
  <c r="B35" i="10" s="1"/>
  <c r="K35" i="10"/>
  <c r="F116" i="7" l="1"/>
  <c r="H35" i="11"/>
  <c r="D116" i="7"/>
  <c r="B35" i="11"/>
  <c r="H35" i="10"/>
  <c r="I35" i="10" s="1"/>
  <c r="D36" i="10"/>
  <c r="H116" i="7" l="1"/>
  <c r="I35" i="11"/>
  <c r="C116" i="7"/>
  <c r="D36" i="11"/>
  <c r="K36" i="10"/>
  <c r="S36" i="10" s="1"/>
  <c r="F36" i="10"/>
  <c r="J36" i="10"/>
  <c r="R36" i="10" s="1"/>
  <c r="M36" i="10"/>
  <c r="K36" i="11" l="1"/>
  <c r="I117" i="7" s="1"/>
  <c r="J36" i="11"/>
  <c r="F36" i="11"/>
  <c r="C36" i="11" s="1"/>
  <c r="E117" i="7"/>
  <c r="H36" i="10"/>
  <c r="I36" i="10" s="1"/>
  <c r="O36" i="10"/>
  <c r="C36" i="10"/>
  <c r="B36" i="10" s="1"/>
  <c r="L36" i="10" l="1"/>
  <c r="F117" i="7"/>
  <c r="H36" i="11"/>
  <c r="B36" i="11"/>
  <c r="D117" i="7"/>
  <c r="Q36" i="10"/>
  <c r="E44" i="10"/>
  <c r="E47" i="10"/>
  <c r="E39" i="10"/>
  <c r="E42" i="10"/>
  <c r="E45" i="10"/>
  <c r="E37" i="10"/>
  <c r="E40" i="10"/>
  <c r="E43" i="10"/>
  <c r="E48" i="10"/>
  <c r="E46" i="10"/>
  <c r="E38" i="10"/>
  <c r="E41" i="10"/>
  <c r="D37" i="10"/>
  <c r="H117" i="7" l="1"/>
  <c r="I36" i="11"/>
  <c r="C117" i="7"/>
  <c r="D37" i="11"/>
  <c r="K37" i="10"/>
  <c r="F37" i="10"/>
  <c r="C37" i="10" s="1"/>
  <c r="J37" i="10"/>
  <c r="N48" i="10"/>
  <c r="J37" i="11" l="1"/>
  <c r="R37" i="11" s="1"/>
  <c r="K37" i="11"/>
  <c r="F37" i="11"/>
  <c r="C37" i="11" s="1"/>
  <c r="E118" i="7"/>
  <c r="M37" i="11"/>
  <c r="H37" i="10"/>
  <c r="I37" i="10" s="1"/>
  <c r="B37" i="10"/>
  <c r="F118" i="7" l="1"/>
  <c r="H37" i="11"/>
  <c r="O37" i="11"/>
  <c r="I118" i="7"/>
  <c r="S37" i="11"/>
  <c r="D118" i="7"/>
  <c r="L37" i="11"/>
  <c r="B37" i="11"/>
  <c r="D38" i="10"/>
  <c r="H118" i="7" l="1"/>
  <c r="I37" i="11"/>
  <c r="Q37" i="11"/>
  <c r="C118" i="7"/>
  <c r="D38" i="11"/>
  <c r="F38" i="10"/>
  <c r="C38" i="10" s="1"/>
  <c r="J38" i="10"/>
  <c r="K38" i="10"/>
  <c r="J38" i="11" l="1"/>
  <c r="K38" i="11"/>
  <c r="F38" i="11"/>
  <c r="H38" i="10"/>
  <c r="I38" i="10" s="1"/>
  <c r="B38" i="10"/>
  <c r="H38" i="11" l="1"/>
  <c r="C38" i="11"/>
  <c r="B38" i="11" s="1"/>
  <c r="D39" i="11" s="1"/>
  <c r="K39" i="11" s="1"/>
  <c r="D39" i="10"/>
  <c r="J39" i="11" l="1"/>
  <c r="F39" i="11"/>
  <c r="H39" i="11" s="1"/>
  <c r="I39" i="11" s="1"/>
  <c r="I38" i="11"/>
  <c r="F39" i="10"/>
  <c r="C39" i="10" s="1"/>
  <c r="K39" i="10"/>
  <c r="J39" i="10"/>
  <c r="C39" i="11" l="1"/>
  <c r="B39" i="11" s="1"/>
  <c r="D40" i="11" s="1"/>
  <c r="J40" i="11" s="1"/>
  <c r="K40" i="11"/>
  <c r="F40" i="11"/>
  <c r="H40" i="11" s="1"/>
  <c r="H39" i="10"/>
  <c r="I39" i="10" s="1"/>
  <c r="B39" i="10"/>
  <c r="C40" i="11" l="1"/>
  <c r="B40" i="11" s="1"/>
  <c r="D41" i="11" s="1"/>
  <c r="F41" i="11" s="1"/>
  <c r="H41" i="11" s="1"/>
  <c r="I41" i="11" s="1"/>
  <c r="K41" i="11"/>
  <c r="J41" i="11"/>
  <c r="I40" i="11"/>
  <c r="D40" i="10"/>
  <c r="C41" i="11" l="1"/>
  <c r="B41" i="11" s="1"/>
  <c r="D42" i="11" s="1"/>
  <c r="K40" i="10"/>
  <c r="F40" i="10"/>
  <c r="C40" i="10" s="1"/>
  <c r="J40" i="10"/>
  <c r="F42" i="11" l="1"/>
  <c r="H42" i="11" s="1"/>
  <c r="I42" i="11" s="1"/>
  <c r="K42" i="11"/>
  <c r="J42" i="11"/>
  <c r="H40" i="10"/>
  <c r="I40" i="10" s="1"/>
  <c r="B40" i="10"/>
  <c r="C42" i="11" l="1"/>
  <c r="B42" i="11" s="1"/>
  <c r="D43" i="11" s="1"/>
  <c r="D41" i="10"/>
  <c r="J43" i="11" l="1"/>
  <c r="K43" i="11"/>
  <c r="F43" i="11"/>
  <c r="K41" i="10"/>
  <c r="J41" i="10"/>
  <c r="F41" i="10"/>
  <c r="C41" i="10" s="1"/>
  <c r="C43" i="11" l="1"/>
  <c r="B43" i="11" s="1"/>
  <c r="D44" i="11" s="1"/>
  <c r="H43" i="11"/>
  <c r="I43" i="11" s="1"/>
  <c r="H41" i="10"/>
  <c r="I41" i="10" s="1"/>
  <c r="B41" i="10"/>
  <c r="D42" i="10" s="1"/>
  <c r="F44" i="11" l="1"/>
  <c r="K44" i="11"/>
  <c r="J44" i="11"/>
  <c r="K45" i="11"/>
  <c r="J45" i="11"/>
  <c r="F45" i="11"/>
  <c r="H45" i="11" s="1"/>
  <c r="I45" i="11" s="1"/>
  <c r="F42" i="10"/>
  <c r="H42" i="10" s="1"/>
  <c r="I42" i="10" s="1"/>
  <c r="K42" i="10"/>
  <c r="J42" i="10"/>
  <c r="H44" i="11" l="1"/>
  <c r="I44" i="11" s="1"/>
  <c r="C44" i="11"/>
  <c r="B44" i="11" s="1"/>
  <c r="D45" i="11" s="1"/>
  <c r="C45" i="11" s="1"/>
  <c r="B45" i="11" s="1"/>
  <c r="D46" i="11" s="1"/>
  <c r="F46" i="11" s="1"/>
  <c r="H46" i="11" s="1"/>
  <c r="I46" i="11" s="1"/>
  <c r="J48" i="10"/>
  <c r="F48" i="10"/>
  <c r="K48" i="10"/>
  <c r="C42" i="10"/>
  <c r="B42" i="10" s="1"/>
  <c r="D43" i="10" s="1"/>
  <c r="K46" i="11" l="1"/>
  <c r="J46" i="11"/>
  <c r="C46" i="11"/>
  <c r="B46" i="11" s="1"/>
  <c r="F50" i="11"/>
  <c r="J50" i="11"/>
  <c r="K50" i="11"/>
  <c r="F43" i="10"/>
  <c r="H43" i="10" s="1"/>
  <c r="I43" i="10" s="1"/>
  <c r="J43" i="10"/>
  <c r="K43" i="10"/>
  <c r="H48" i="10"/>
  <c r="I48" i="10" s="1"/>
  <c r="D47" i="11" l="1"/>
  <c r="H50" i="11"/>
  <c r="C43" i="10"/>
  <c r="B43" i="10" s="1"/>
  <c r="D44" i="10" s="1"/>
  <c r="K44" i="10"/>
  <c r="F44" i="10"/>
  <c r="J44" i="10"/>
  <c r="K47" i="11" l="1"/>
  <c r="J47" i="11"/>
  <c r="F47" i="11"/>
  <c r="C47" i="11" s="1"/>
  <c r="I50" i="11"/>
  <c r="H44" i="10"/>
  <c r="I44" i="10" s="1"/>
  <c r="C44" i="10"/>
  <c r="H47" i="11" l="1"/>
  <c r="B47" i="11"/>
  <c r="D48" i="11" s="1"/>
  <c r="F51" i="11"/>
  <c r="J51" i="11"/>
  <c r="K51" i="11"/>
  <c r="B44" i="10"/>
  <c r="D45" i="10" s="1"/>
  <c r="J48" i="11" l="1"/>
  <c r="K48" i="11"/>
  <c r="F48" i="11"/>
  <c r="C48" i="11" s="1"/>
  <c r="I47" i="11"/>
  <c r="H51" i="11"/>
  <c r="K45" i="10"/>
  <c r="F45" i="10"/>
  <c r="J45" i="10"/>
  <c r="H48" i="11" l="1"/>
  <c r="B48" i="11"/>
  <c r="I51" i="11"/>
  <c r="H45" i="10"/>
  <c r="I45" i="10" s="1"/>
  <c r="C45" i="10"/>
  <c r="I48" i="11" l="1"/>
  <c r="D49" i="11"/>
  <c r="J52" i="11"/>
  <c r="K52" i="11"/>
  <c r="F52" i="11"/>
  <c r="B45" i="10"/>
  <c r="D46" i="10" s="1"/>
  <c r="J49" i="11" l="1"/>
  <c r="R49" i="11" s="1"/>
  <c r="F49" i="11"/>
  <c r="C49" i="11" s="1"/>
  <c r="K49" i="11"/>
  <c r="S49" i="11" s="1"/>
  <c r="M49" i="11"/>
  <c r="H52" i="11"/>
  <c r="F46" i="10"/>
  <c r="J46" i="10"/>
  <c r="K46" i="10"/>
  <c r="H49" i="11" l="1"/>
  <c r="O49" i="11"/>
  <c r="L49" i="11"/>
  <c r="B49" i="11"/>
  <c r="I52" i="11"/>
  <c r="H46" i="10"/>
  <c r="I46" i="10" s="1"/>
  <c r="C46" i="10"/>
  <c r="I49" i="11" l="1"/>
  <c r="Q49" i="11"/>
  <c r="D50" i="11"/>
  <c r="C50" i="11" s="1"/>
  <c r="B50" i="11" s="1"/>
  <c r="J53" i="11"/>
  <c r="F53" i="11"/>
  <c r="K53" i="11"/>
  <c r="B46" i="10"/>
  <c r="D47" i="10" s="1"/>
  <c r="D51" i="11" l="1"/>
  <c r="C51" i="11" s="1"/>
  <c r="B51" i="11" s="1"/>
  <c r="D52" i="11" s="1"/>
  <c r="C52" i="11" s="1"/>
  <c r="B52" i="11" s="1"/>
  <c r="H53" i="11"/>
  <c r="F47" i="10"/>
  <c r="J47" i="10"/>
  <c r="R48" i="10" s="1"/>
  <c r="K47" i="10"/>
  <c r="S48" i="10" s="1"/>
  <c r="D53" i="11" l="1"/>
  <c r="C53" i="11" s="1"/>
  <c r="B53" i="11" s="1"/>
  <c r="D54" i="11" s="1"/>
  <c r="I53" i="11"/>
  <c r="H47" i="10"/>
  <c r="I47" i="10" s="1"/>
  <c r="O48" i="10"/>
  <c r="C47" i="10"/>
  <c r="J54" i="11" l="1"/>
  <c r="F54" i="11"/>
  <c r="C54" i="11" s="1"/>
  <c r="K54" i="11"/>
  <c r="Q48" i="10"/>
  <c r="B47" i="10"/>
  <c r="H54" i="11" l="1"/>
  <c r="B54" i="11"/>
  <c r="D48" i="10"/>
  <c r="I54" i="11" l="1"/>
  <c r="D55" i="11"/>
  <c r="C48" i="10"/>
  <c r="M48" i="10"/>
  <c r="K55" i="11" l="1"/>
  <c r="F55" i="11"/>
  <c r="H55" i="11" s="1"/>
  <c r="I55" i="11" s="1"/>
  <c r="J55" i="11"/>
  <c r="L48" i="10"/>
  <c r="B48" i="10"/>
  <c r="J56" i="11" l="1"/>
  <c r="F56" i="11"/>
  <c r="H56" i="11" s="1"/>
  <c r="I56" i="11" s="1"/>
  <c r="K56" i="11"/>
  <c r="C55" i="11"/>
  <c r="B55" i="11" s="1"/>
  <c r="D56" i="11" s="1"/>
  <c r="E49" i="10"/>
  <c r="E60" i="10"/>
  <c r="E54" i="10"/>
  <c r="E50" i="10"/>
  <c r="E52" i="10"/>
  <c r="E58" i="10"/>
  <c r="D49" i="10"/>
  <c r="C49" i="10" s="1"/>
  <c r="B49" i="10" s="1"/>
  <c r="E56" i="10"/>
  <c r="E55" i="10"/>
  <c r="E53" i="10"/>
  <c r="E51" i="10"/>
  <c r="E57" i="10"/>
  <c r="E59" i="10"/>
  <c r="K57" i="11" l="1"/>
  <c r="J57" i="11"/>
  <c r="F57" i="11"/>
  <c r="H57" i="11" s="1"/>
  <c r="I57" i="11" s="1"/>
  <c r="C56" i="11"/>
  <c r="B56" i="11" s="1"/>
  <c r="D57" i="11" s="1"/>
  <c r="D50" i="10"/>
  <c r="C50" i="10" s="1"/>
  <c r="B50" i="10" s="1"/>
  <c r="D51" i="10" s="1"/>
  <c r="C51" i="10" s="1"/>
  <c r="B51" i="10" s="1"/>
  <c r="N60" i="10"/>
  <c r="F58" i="11" l="1"/>
  <c r="H58" i="11" s="1"/>
  <c r="I58" i="11" s="1"/>
  <c r="J58" i="11"/>
  <c r="K58" i="11"/>
  <c r="C57" i="11"/>
  <c r="B57" i="11" s="1"/>
  <c r="D58" i="11" s="1"/>
  <c r="D52" i="10"/>
  <c r="C52" i="10" s="1"/>
  <c r="B52" i="10" s="1"/>
  <c r="D53" i="10" s="1"/>
  <c r="C53" i="10" s="1"/>
  <c r="B53" i="10" s="1"/>
  <c r="F59" i="11" l="1"/>
  <c r="H59" i="11" s="1"/>
  <c r="I59" i="11" s="1"/>
  <c r="J59" i="11"/>
  <c r="K59" i="11"/>
  <c r="C58" i="11"/>
  <c r="B58" i="11" s="1"/>
  <c r="D59" i="11" s="1"/>
  <c r="D54" i="10"/>
  <c r="C54" i="10" s="1"/>
  <c r="B54" i="10" s="1"/>
  <c r="D55" i="10" s="1"/>
  <c r="C55" i="10" s="1"/>
  <c r="J60" i="11" l="1"/>
  <c r="F60" i="11"/>
  <c r="H60" i="11" s="1"/>
  <c r="I60" i="11" s="1"/>
  <c r="K60" i="11"/>
  <c r="C59" i="11"/>
  <c r="B59" i="11" s="1"/>
  <c r="D60" i="11" s="1"/>
  <c r="B55" i="10"/>
  <c r="J61" i="11" l="1"/>
  <c r="R61" i="11" s="1"/>
  <c r="F61" i="11"/>
  <c r="K61" i="11"/>
  <c r="S61" i="11" s="1"/>
  <c r="C60" i="11"/>
  <c r="B60" i="11" s="1"/>
  <c r="D61" i="11" s="1"/>
  <c r="M61" i="11" s="1"/>
  <c r="D56" i="10"/>
  <c r="H61" i="11" l="1"/>
  <c r="O61" i="11"/>
  <c r="C61" i="11"/>
  <c r="B61" i="11" s="1"/>
  <c r="C56" i="10"/>
  <c r="L61" i="11" l="1"/>
  <c r="I61" i="11"/>
  <c r="Q61" i="11"/>
  <c r="D62" i="11"/>
  <c r="B56" i="10"/>
  <c r="D57" i="10" s="1"/>
  <c r="J62" i="11" l="1"/>
  <c r="F62" i="11"/>
  <c r="C62" i="11" s="1"/>
  <c r="K62" i="11"/>
  <c r="C57" i="10"/>
  <c r="H62" i="11" l="1"/>
  <c r="B62" i="11"/>
  <c r="B57" i="10"/>
  <c r="D58" i="10" s="1"/>
  <c r="I62" i="11" l="1"/>
  <c r="D63" i="11"/>
  <c r="C58" i="10"/>
  <c r="F63" i="11" l="1"/>
  <c r="C63" i="11" s="1"/>
  <c r="J63" i="11"/>
  <c r="K63" i="11"/>
  <c r="B58" i="10"/>
  <c r="D59" i="10" s="1"/>
  <c r="H63" i="11" l="1"/>
  <c r="B63" i="11"/>
  <c r="C59" i="10"/>
  <c r="I63" i="11" l="1"/>
  <c r="D64" i="11"/>
  <c r="B59" i="10"/>
  <c r="F64" i="11" l="1"/>
  <c r="C64" i="11" s="1"/>
  <c r="K64" i="11"/>
  <c r="J64" i="11"/>
  <c r="D60" i="10"/>
  <c r="H64" i="11" l="1"/>
  <c r="B64" i="11"/>
  <c r="C60" i="10"/>
  <c r="M60" i="10"/>
  <c r="I64" i="11" l="1"/>
  <c r="D65" i="11"/>
  <c r="L60" i="10"/>
  <c r="B60" i="10"/>
  <c r="K65" i="11" l="1"/>
  <c r="F65" i="11"/>
  <c r="C65" i="11" s="1"/>
  <c r="J65" i="11"/>
  <c r="E68" i="10"/>
  <c r="E69" i="10"/>
  <c r="E63" i="10"/>
  <c r="E71" i="10"/>
  <c r="E62" i="10"/>
  <c r="E66" i="10"/>
  <c r="E67" i="10"/>
  <c r="E64" i="10"/>
  <c r="E65" i="10"/>
  <c r="E72" i="10"/>
  <c r="E70" i="10"/>
  <c r="E61" i="10"/>
  <c r="D61" i="10"/>
  <c r="H65" i="11" l="1"/>
  <c r="B65" i="11"/>
  <c r="N72" i="10"/>
  <c r="C61" i="10"/>
  <c r="I65" i="11" l="1"/>
  <c r="D66" i="11"/>
  <c r="B61" i="10"/>
  <c r="D62" i="10" s="1"/>
  <c r="F66" i="11" l="1"/>
  <c r="C66" i="11" s="1"/>
  <c r="J66" i="11"/>
  <c r="K66" i="11"/>
  <c r="C62" i="10"/>
  <c r="H66" i="11" l="1"/>
  <c r="B66" i="11"/>
  <c r="B62" i="10"/>
  <c r="D63" i="10" s="1"/>
  <c r="I66" i="11" l="1"/>
  <c r="D67" i="11"/>
  <c r="C63" i="10"/>
  <c r="K67" i="11" l="1"/>
  <c r="F67" i="11"/>
  <c r="H67" i="11" s="1"/>
  <c r="I67" i="11" s="1"/>
  <c r="J67" i="11"/>
  <c r="B63" i="10"/>
  <c r="J68" i="11" l="1"/>
  <c r="K68" i="11"/>
  <c r="F68" i="11"/>
  <c r="H68" i="11" s="1"/>
  <c r="I68" i="11" s="1"/>
  <c r="C67" i="11"/>
  <c r="B67" i="11" s="1"/>
  <c r="D68" i="11" s="1"/>
  <c r="D64" i="10"/>
  <c r="F69" i="11" l="1"/>
  <c r="H69" i="11" s="1"/>
  <c r="I69" i="11" s="1"/>
  <c r="K69" i="11"/>
  <c r="J69" i="11"/>
  <c r="C68" i="11"/>
  <c r="B68" i="11" s="1"/>
  <c r="D69" i="11" s="1"/>
  <c r="C64" i="10"/>
  <c r="F70" i="11" l="1"/>
  <c r="H70" i="11" s="1"/>
  <c r="I70" i="11" s="1"/>
  <c r="J70" i="11"/>
  <c r="K70" i="11"/>
  <c r="C69" i="11"/>
  <c r="B69" i="11" s="1"/>
  <c r="D70" i="11" s="1"/>
  <c r="B64" i="10"/>
  <c r="D65" i="10" s="1"/>
  <c r="J71" i="11" l="1"/>
  <c r="F71" i="11"/>
  <c r="H71" i="11" s="1"/>
  <c r="I71" i="11" s="1"/>
  <c r="K71" i="11"/>
  <c r="C70" i="11"/>
  <c r="B70" i="11" s="1"/>
  <c r="D71" i="11" s="1"/>
  <c r="C65" i="10"/>
  <c r="F72" i="11" l="1"/>
  <c r="H72" i="11" s="1"/>
  <c r="I72" i="11" s="1"/>
  <c r="J72" i="11"/>
  <c r="K72" i="11"/>
  <c r="C71" i="11"/>
  <c r="B71" i="11" s="1"/>
  <c r="D72" i="11" s="1"/>
  <c r="B65" i="10"/>
  <c r="D66" i="10" s="1"/>
  <c r="C66" i="10" s="1"/>
  <c r="B66" i="10" s="1"/>
  <c r="D67" i="10" s="1"/>
  <c r="C67" i="10" s="1"/>
  <c r="B67" i="10" s="1"/>
  <c r="D68" i="10" s="1"/>
  <c r="C68" i="10" s="1"/>
  <c r="B68" i="10" s="1"/>
  <c r="D69" i="10" s="1"/>
  <c r="C69" i="10" s="1"/>
  <c r="B69" i="10" s="1"/>
  <c r="D70" i="10" s="1"/>
  <c r="C70" i="10" s="1"/>
  <c r="B70" i="10" s="1"/>
  <c r="D71" i="10" s="1"/>
  <c r="C71" i="10" s="1"/>
  <c r="B71" i="10" s="1"/>
  <c r="F73" i="11" l="1"/>
  <c r="J73" i="11"/>
  <c r="R73" i="11" s="1"/>
  <c r="K73" i="11"/>
  <c r="S73" i="11" s="1"/>
  <c r="C72" i="11"/>
  <c r="B72" i="11" s="1"/>
  <c r="D73" i="11" s="1"/>
  <c r="D72" i="10"/>
  <c r="C73" i="11" l="1"/>
  <c r="M73" i="11"/>
  <c r="H73" i="11"/>
  <c r="O73" i="11"/>
  <c r="L73" i="11"/>
  <c r="B73" i="11"/>
  <c r="C72" i="10"/>
  <c r="M72" i="10"/>
  <c r="I73" i="11" l="1"/>
  <c r="Q73" i="11"/>
  <c r="D74" i="11"/>
  <c r="L72" i="10"/>
  <c r="B72" i="10"/>
  <c r="J74" i="11" l="1"/>
  <c r="F74" i="11"/>
  <c r="C74" i="11" s="1"/>
  <c r="K74" i="11"/>
  <c r="E74" i="10"/>
  <c r="E77" i="10"/>
  <c r="E80" i="10"/>
  <c r="E75" i="10"/>
  <c r="E78" i="10"/>
  <c r="E81" i="10"/>
  <c r="E73" i="10"/>
  <c r="E79" i="10"/>
  <c r="E83" i="10"/>
  <c r="D73" i="10"/>
  <c r="C73" i="10" s="1"/>
  <c r="B73" i="10" s="1"/>
  <c r="E82" i="10"/>
  <c r="E84" i="10"/>
  <c r="E76" i="10"/>
  <c r="H74" i="11" l="1"/>
  <c r="B74" i="11"/>
  <c r="D74" i="10"/>
  <c r="C74" i="10" s="1"/>
  <c r="B74" i="10" s="1"/>
  <c r="N84" i="10"/>
  <c r="I74" i="11" l="1"/>
  <c r="D75" i="11"/>
  <c r="D75" i="10"/>
  <c r="C75" i="10" s="1"/>
  <c r="B75" i="10" s="1"/>
  <c r="K75" i="11" l="1"/>
  <c r="F75" i="11"/>
  <c r="C75" i="11" s="1"/>
  <c r="J75" i="11"/>
  <c r="D76" i="10"/>
  <c r="C76" i="10" s="1"/>
  <c r="B76" i="10" s="1"/>
  <c r="H75" i="11" l="1"/>
  <c r="B75" i="11"/>
  <c r="D77" i="10"/>
  <c r="I75" i="11" l="1"/>
  <c r="D76" i="11"/>
  <c r="C77" i="10"/>
  <c r="J76" i="11" l="1"/>
  <c r="F76" i="11"/>
  <c r="C76" i="11" s="1"/>
  <c r="K76" i="11"/>
  <c r="B77" i="10"/>
  <c r="D78" i="10" s="1"/>
  <c r="H76" i="11" l="1"/>
  <c r="B76" i="11"/>
  <c r="C78" i="10"/>
  <c r="I76" i="11" l="1"/>
  <c r="D77" i="11"/>
  <c r="B78" i="10"/>
  <c r="D79" i="10" s="1"/>
  <c r="F77" i="11" l="1"/>
  <c r="C77" i="11" s="1"/>
  <c r="K77" i="11"/>
  <c r="J77" i="11"/>
  <c r="C79" i="10"/>
  <c r="H77" i="11" l="1"/>
  <c r="B77" i="11"/>
  <c r="B79" i="10"/>
  <c r="D80" i="10" s="1"/>
  <c r="I77" i="11" l="1"/>
  <c r="D78" i="11"/>
  <c r="C80" i="10"/>
  <c r="F78" i="11" l="1"/>
  <c r="C78" i="11" s="1"/>
  <c r="K78" i="11"/>
  <c r="J78" i="11"/>
  <c r="B80" i="10"/>
  <c r="D81" i="10" s="1"/>
  <c r="H78" i="11" l="1"/>
  <c r="B78" i="11"/>
  <c r="C81" i="10"/>
  <c r="I78" i="11" l="1"/>
  <c r="D79" i="11"/>
  <c r="B81" i="10"/>
  <c r="J79" i="11" l="1"/>
  <c r="K79" i="11"/>
  <c r="F79" i="11"/>
  <c r="H79" i="11" s="1"/>
  <c r="I79" i="11" s="1"/>
  <c r="D82" i="10"/>
  <c r="C82" i="10" s="1"/>
  <c r="B82" i="10" s="1"/>
  <c r="D83" i="10" s="1"/>
  <c r="C83" i="10" s="1"/>
  <c r="B83" i="10" s="1"/>
  <c r="K80" i="11" l="1"/>
  <c r="J80" i="11"/>
  <c r="F80" i="11"/>
  <c r="H80" i="11" s="1"/>
  <c r="I80" i="11" s="1"/>
  <c r="C79" i="11"/>
  <c r="B79" i="11" s="1"/>
  <c r="D80" i="11" s="1"/>
  <c r="D84" i="10"/>
  <c r="F81" i="11" l="1"/>
  <c r="H81" i="11" s="1"/>
  <c r="I81" i="11" s="1"/>
  <c r="J81" i="11"/>
  <c r="K81" i="11"/>
  <c r="C80" i="11"/>
  <c r="B80" i="11" s="1"/>
  <c r="D81" i="11" s="1"/>
  <c r="C84" i="10"/>
  <c r="M84" i="10"/>
  <c r="F82" i="11" l="1"/>
  <c r="H82" i="11" s="1"/>
  <c r="I82" i="11" s="1"/>
  <c r="J82" i="11"/>
  <c r="K82" i="11"/>
  <c r="C81" i="11"/>
  <c r="B81" i="11" s="1"/>
  <c r="D82" i="11" s="1"/>
  <c r="L84" i="10"/>
  <c r="B84" i="10"/>
  <c r="F83" i="11" l="1"/>
  <c r="H83" i="11" s="1"/>
  <c r="I83" i="11" s="1"/>
  <c r="K83" i="11"/>
  <c r="J83" i="11"/>
  <c r="C82" i="11"/>
  <c r="B82" i="11" s="1"/>
  <c r="D83" i="11" s="1"/>
  <c r="E95" i="10"/>
  <c r="E87" i="10"/>
  <c r="D85" i="10"/>
  <c r="C85" i="10" s="1"/>
  <c r="B85" i="10" s="1"/>
  <c r="E93" i="10"/>
  <c r="E85" i="10"/>
  <c r="E96" i="10"/>
  <c r="E92" i="10"/>
  <c r="E94" i="10"/>
  <c r="E88" i="10"/>
  <c r="E89" i="10"/>
  <c r="E91" i="10"/>
  <c r="E86" i="10"/>
  <c r="E90" i="10"/>
  <c r="F84" i="11" l="1"/>
  <c r="H84" i="11" s="1"/>
  <c r="I84" i="11" s="1"/>
  <c r="J84" i="11"/>
  <c r="K84" i="11"/>
  <c r="C83" i="11"/>
  <c r="B83" i="11" s="1"/>
  <c r="D84" i="11" s="1"/>
  <c r="D86" i="10"/>
  <c r="C86" i="10" s="1"/>
  <c r="B86" i="10" s="1"/>
  <c r="N96" i="10"/>
  <c r="F85" i="11" l="1"/>
  <c r="K85" i="11"/>
  <c r="S85" i="11" s="1"/>
  <c r="J85" i="11"/>
  <c r="R85" i="11" s="1"/>
  <c r="C84" i="11"/>
  <c r="B84" i="11" s="1"/>
  <c r="D85" i="11" s="1"/>
  <c r="D87" i="10"/>
  <c r="C87" i="10" s="1"/>
  <c r="B87" i="10" s="1"/>
  <c r="C85" i="11" l="1"/>
  <c r="L85" i="11" s="1"/>
  <c r="M85" i="11"/>
  <c r="H85" i="11"/>
  <c r="O85" i="11"/>
  <c r="D88" i="10"/>
  <c r="C88" i="10" s="1"/>
  <c r="B88" i="10" s="1"/>
  <c r="B85" i="11" l="1"/>
  <c r="I85" i="11"/>
  <c r="Q85" i="11"/>
  <c r="D86" i="11"/>
  <c r="D89" i="10"/>
  <c r="C89" i="10" s="1"/>
  <c r="B89" i="10" s="1"/>
  <c r="D90" i="10" s="1"/>
  <c r="C90" i="10" s="1"/>
  <c r="B90" i="10" s="1"/>
  <c r="D91" i="10" s="1"/>
  <c r="C91" i="10" s="1"/>
  <c r="B91" i="10" s="1"/>
  <c r="D92" i="10" s="1"/>
  <c r="C92" i="10" s="1"/>
  <c r="B92" i="10" s="1"/>
  <c r="D93" i="10" s="1"/>
  <c r="C93" i="10" s="1"/>
  <c r="B93" i="10" s="1"/>
  <c r="F86" i="11" l="1"/>
  <c r="C86" i="11" s="1"/>
  <c r="J86" i="11"/>
  <c r="K86" i="11"/>
  <c r="D94" i="10"/>
  <c r="C94" i="10" s="1"/>
  <c r="B94" i="10" s="1"/>
  <c r="H86" i="11" l="1"/>
  <c r="B86" i="11"/>
  <c r="D95" i="10"/>
  <c r="C95" i="10" s="1"/>
  <c r="B95" i="10" s="1"/>
  <c r="I86" i="11" l="1"/>
  <c r="D87" i="11"/>
  <c r="D96" i="10"/>
  <c r="J87" i="11" l="1"/>
  <c r="K87" i="11"/>
  <c r="F87" i="11"/>
  <c r="C87" i="11" s="1"/>
  <c r="C96" i="10"/>
  <c r="M96" i="10"/>
  <c r="H87" i="11" l="1"/>
  <c r="B87" i="11"/>
  <c r="L96" i="10"/>
  <c r="B96" i="10"/>
  <c r="I87" i="11" l="1"/>
  <c r="D88" i="11"/>
  <c r="E108" i="10"/>
  <c r="E106" i="10"/>
  <c r="E104" i="10"/>
  <c r="E102" i="10"/>
  <c r="E100" i="10"/>
  <c r="E98" i="10"/>
  <c r="E107" i="10"/>
  <c r="E105" i="10"/>
  <c r="E103" i="10"/>
  <c r="E101" i="10"/>
  <c r="E99" i="10"/>
  <c r="E97" i="10"/>
  <c r="D97" i="10"/>
  <c r="F88" i="11" l="1"/>
  <c r="C88" i="11" s="1"/>
  <c r="K88" i="11"/>
  <c r="J88" i="11"/>
  <c r="N108" i="10"/>
  <c r="C97" i="10"/>
  <c r="H88" i="11" l="1"/>
  <c r="B88" i="11"/>
  <c r="B97" i="10"/>
  <c r="I88" i="11" l="1"/>
  <c r="D89" i="11"/>
  <c r="D98" i="10"/>
  <c r="K89" i="11" l="1"/>
  <c r="F89" i="11"/>
  <c r="C89" i="11" s="1"/>
  <c r="J89" i="11"/>
  <c r="C98" i="10"/>
  <c r="H89" i="11" l="1"/>
  <c r="B89" i="11"/>
  <c r="B98" i="10"/>
  <c r="I89" i="11" l="1"/>
  <c r="D90" i="11"/>
  <c r="D99" i="10"/>
  <c r="F90" i="11" l="1"/>
  <c r="C90" i="11" s="1"/>
  <c r="J90" i="11"/>
  <c r="K90" i="11"/>
  <c r="C99" i="10"/>
  <c r="H90" i="11" l="1"/>
  <c r="B90" i="11"/>
  <c r="B99" i="10"/>
  <c r="I90" i="11" l="1"/>
  <c r="D91" i="11"/>
  <c r="D100" i="10"/>
  <c r="K91" i="11" l="1"/>
  <c r="F91" i="11"/>
  <c r="H91" i="11" s="1"/>
  <c r="I91" i="11" s="1"/>
  <c r="J91" i="11"/>
  <c r="C100" i="10"/>
  <c r="F92" i="11" l="1"/>
  <c r="H92" i="11" s="1"/>
  <c r="I92" i="11" s="1"/>
  <c r="J92" i="11"/>
  <c r="K92" i="11"/>
  <c r="C91" i="11"/>
  <c r="B91" i="11" s="1"/>
  <c r="D92" i="11" s="1"/>
  <c r="B100" i="10"/>
  <c r="F93" i="11" l="1"/>
  <c r="H93" i="11" s="1"/>
  <c r="I93" i="11" s="1"/>
  <c r="J93" i="11"/>
  <c r="K93" i="11"/>
  <c r="C92" i="11"/>
  <c r="B92" i="11" s="1"/>
  <c r="D93" i="11" s="1"/>
  <c r="D101" i="10"/>
  <c r="J94" i="11" l="1"/>
  <c r="F94" i="11"/>
  <c r="H94" i="11" s="1"/>
  <c r="I94" i="11" s="1"/>
  <c r="K94" i="11"/>
  <c r="C93" i="11"/>
  <c r="B93" i="11" s="1"/>
  <c r="D94" i="11" s="1"/>
  <c r="C101" i="10"/>
  <c r="J95" i="11" l="1"/>
  <c r="K95" i="11"/>
  <c r="F95" i="11"/>
  <c r="H95" i="11" s="1"/>
  <c r="I95" i="11" s="1"/>
  <c r="C94" i="11"/>
  <c r="B94" i="11" s="1"/>
  <c r="D95" i="11" s="1"/>
  <c r="B101" i="10"/>
  <c r="J96" i="11" l="1"/>
  <c r="K96" i="11"/>
  <c r="F96" i="11"/>
  <c r="H96" i="11" s="1"/>
  <c r="I96" i="11" s="1"/>
  <c r="C95" i="11"/>
  <c r="B95" i="11" s="1"/>
  <c r="D96" i="11" s="1"/>
  <c r="D102" i="10"/>
  <c r="C102" i="10" s="1"/>
  <c r="B102" i="10" s="1"/>
  <c r="F97" i="11" l="1"/>
  <c r="K97" i="11"/>
  <c r="S97" i="11" s="1"/>
  <c r="J97" i="11"/>
  <c r="R97" i="11" s="1"/>
  <c r="C96" i="11"/>
  <c r="B96" i="11" s="1"/>
  <c r="D97" i="11" s="1"/>
  <c r="D103" i="10"/>
  <c r="C103" i="10" s="1"/>
  <c r="B103" i="10" s="1"/>
  <c r="C97" i="11" l="1"/>
  <c r="M97" i="11"/>
  <c r="H97" i="11"/>
  <c r="O97" i="11"/>
  <c r="L97" i="11"/>
  <c r="B97" i="11"/>
  <c r="D104" i="10"/>
  <c r="C104" i="10" s="1"/>
  <c r="B104" i="10" s="1"/>
  <c r="I97" i="11" l="1"/>
  <c r="Q97" i="11"/>
  <c r="D98" i="11"/>
  <c r="D105" i="10"/>
  <c r="C105" i="10" s="1"/>
  <c r="B105" i="10" s="1"/>
  <c r="K98" i="11" l="1"/>
  <c r="F98" i="11"/>
  <c r="C98" i="11" s="1"/>
  <c r="J98" i="11"/>
  <c r="D106" i="10"/>
  <c r="C106" i="10" s="1"/>
  <c r="B106" i="10" s="1"/>
  <c r="H98" i="11" l="1"/>
  <c r="B98" i="11"/>
  <c r="D107" i="10"/>
  <c r="C107" i="10" s="1"/>
  <c r="B107" i="10" s="1"/>
  <c r="I98" i="11" l="1"/>
  <c r="D99" i="11"/>
  <c r="D108" i="10"/>
  <c r="K99" i="11" l="1"/>
  <c r="F99" i="11"/>
  <c r="C99" i="11" s="1"/>
  <c r="J99" i="11"/>
  <c r="C108" i="10"/>
  <c r="M108" i="10"/>
  <c r="H99" i="11" l="1"/>
  <c r="B99" i="11"/>
  <c r="L108" i="10"/>
  <c r="B108" i="10"/>
  <c r="I99" i="11" l="1"/>
  <c r="D100" i="11"/>
  <c r="E120" i="10"/>
  <c r="E118" i="10"/>
  <c r="E116" i="10"/>
  <c r="E114" i="10"/>
  <c r="E112" i="10"/>
  <c r="E110" i="10"/>
  <c r="E119" i="10"/>
  <c r="E117" i="10"/>
  <c r="E115" i="10"/>
  <c r="E113" i="10"/>
  <c r="E111" i="10"/>
  <c r="E109" i="10"/>
  <c r="D109" i="10"/>
  <c r="J100" i="11" l="1"/>
  <c r="F100" i="11"/>
  <c r="C100" i="11" s="1"/>
  <c r="K100" i="11"/>
  <c r="C109" i="10"/>
  <c r="N120" i="10"/>
  <c r="H100" i="11" l="1"/>
  <c r="B100" i="11"/>
  <c r="B109" i="10"/>
  <c r="I100" i="11" l="1"/>
  <c r="D101" i="11"/>
  <c r="D110" i="10"/>
  <c r="F101" i="11" l="1"/>
  <c r="C101" i="11" s="1"/>
  <c r="J101" i="11"/>
  <c r="K101" i="11"/>
  <c r="C110" i="10"/>
  <c r="H101" i="11" l="1"/>
  <c r="B101" i="11"/>
  <c r="B110" i="10"/>
  <c r="I101" i="11" l="1"/>
  <c r="D102" i="11"/>
  <c r="D111" i="10"/>
  <c r="F102" i="11" l="1"/>
  <c r="C102" i="11" s="1"/>
  <c r="J102" i="11"/>
  <c r="K102" i="11"/>
  <c r="C111" i="10"/>
  <c r="H102" i="11" l="1"/>
  <c r="B102" i="11"/>
  <c r="B111" i="10"/>
  <c r="I102" i="11" l="1"/>
  <c r="D103" i="11"/>
  <c r="D112" i="10"/>
  <c r="J103" i="11" l="1"/>
  <c r="F103" i="11"/>
  <c r="H103" i="11" s="1"/>
  <c r="I103" i="11" s="1"/>
  <c r="K103" i="11"/>
  <c r="C112" i="10"/>
  <c r="F104" i="11" l="1"/>
  <c r="H104" i="11" s="1"/>
  <c r="I104" i="11" s="1"/>
  <c r="K104" i="11"/>
  <c r="J104" i="11"/>
  <c r="C103" i="11"/>
  <c r="B103" i="11" s="1"/>
  <c r="D104" i="11" s="1"/>
  <c r="B112" i="10"/>
  <c r="F105" i="11" l="1"/>
  <c r="H105" i="11" s="1"/>
  <c r="I105" i="11" s="1"/>
  <c r="K105" i="11"/>
  <c r="J105" i="11"/>
  <c r="C104" i="11"/>
  <c r="B104" i="11" s="1"/>
  <c r="D105" i="11" s="1"/>
  <c r="D113" i="10"/>
  <c r="F106" i="11" l="1"/>
  <c r="H106" i="11" s="1"/>
  <c r="I106" i="11" s="1"/>
  <c r="J106" i="11"/>
  <c r="K106" i="11"/>
  <c r="C105" i="11"/>
  <c r="B105" i="11" s="1"/>
  <c r="D106" i="11" s="1"/>
  <c r="C113" i="10"/>
  <c r="F107" i="11" l="1"/>
  <c r="H107" i="11" s="1"/>
  <c r="I107" i="11" s="1"/>
  <c r="K107" i="11"/>
  <c r="J107" i="11"/>
  <c r="C106" i="11"/>
  <c r="B106" i="11" s="1"/>
  <c r="D107" i="11" s="1"/>
  <c r="B113" i="10"/>
  <c r="F108" i="11" l="1"/>
  <c r="H108" i="11" s="1"/>
  <c r="I108" i="11" s="1"/>
  <c r="K108" i="11"/>
  <c r="J108" i="11"/>
  <c r="C107" i="11"/>
  <c r="B107" i="11" s="1"/>
  <c r="D108" i="11" s="1"/>
  <c r="D114" i="10"/>
  <c r="C114" i="10" s="1"/>
  <c r="B114" i="10" s="1"/>
  <c r="K109" i="11" l="1"/>
  <c r="S109" i="11" s="1"/>
  <c r="F109" i="11"/>
  <c r="J109" i="11"/>
  <c r="R109" i="11" s="1"/>
  <c r="C108" i="11"/>
  <c r="B108" i="11" s="1"/>
  <c r="D109" i="11" s="1"/>
  <c r="M109" i="11" s="1"/>
  <c r="D115" i="10"/>
  <c r="C115" i="10" s="1"/>
  <c r="B115" i="10" s="1"/>
  <c r="H109" i="11" l="1"/>
  <c r="O109" i="11"/>
  <c r="C109" i="11"/>
  <c r="B109" i="11" s="1"/>
  <c r="D116" i="10"/>
  <c r="C116" i="10" s="1"/>
  <c r="B116" i="10" s="1"/>
  <c r="L109" i="11" l="1"/>
  <c r="I109" i="11"/>
  <c r="Q109" i="11"/>
  <c r="D110" i="11"/>
  <c r="D117" i="10"/>
  <c r="C117" i="10" s="1"/>
  <c r="B117" i="10" s="1"/>
  <c r="F110" i="11" l="1"/>
  <c r="C110" i="11" s="1"/>
  <c r="K110" i="11"/>
  <c r="J110" i="11"/>
  <c r="D118" i="10"/>
  <c r="C118" i="10" s="1"/>
  <c r="B118" i="10" s="1"/>
  <c r="H110" i="11" l="1"/>
  <c r="B110" i="11"/>
  <c r="D119" i="10"/>
  <c r="C119" i="10" s="1"/>
  <c r="B119" i="10" s="1"/>
  <c r="I110" i="11" l="1"/>
  <c r="D111" i="11"/>
  <c r="D120" i="10"/>
  <c r="J111" i="11" l="1"/>
  <c r="F111" i="11"/>
  <c r="C111" i="11" s="1"/>
  <c r="K111" i="11"/>
  <c r="C120" i="10"/>
  <c r="M120" i="10"/>
  <c r="H111" i="11" l="1"/>
  <c r="B111" i="11"/>
  <c r="L120" i="10"/>
  <c r="B120" i="10"/>
  <c r="I111" i="11" l="1"/>
  <c r="D112" i="11"/>
  <c r="E132" i="10"/>
  <c r="E130" i="10"/>
  <c r="E128" i="10"/>
  <c r="E126" i="10"/>
  <c r="E124" i="10"/>
  <c r="E122" i="10"/>
  <c r="E131" i="10"/>
  <c r="E129" i="10"/>
  <c r="E127" i="10"/>
  <c r="E125" i="10"/>
  <c r="E123" i="10"/>
  <c r="E121" i="10"/>
  <c r="D121" i="10"/>
  <c r="K112" i="11" l="1"/>
  <c r="F112" i="11"/>
  <c r="C112" i="11" s="1"/>
  <c r="J112" i="11"/>
  <c r="C121" i="10"/>
  <c r="N132" i="10"/>
  <c r="H112" i="11" l="1"/>
  <c r="B112" i="11"/>
  <c r="B121" i="10"/>
  <c r="I112" i="11" l="1"/>
  <c r="D113" i="11"/>
  <c r="D122" i="10"/>
  <c r="F113" i="11" l="1"/>
  <c r="C113" i="11" s="1"/>
  <c r="J113" i="11"/>
  <c r="K113" i="11"/>
  <c r="C122" i="10"/>
  <c r="H113" i="11" l="1"/>
  <c r="B113" i="11"/>
  <c r="B122" i="10"/>
  <c r="I113" i="11" l="1"/>
  <c r="D114" i="11"/>
  <c r="D123" i="10"/>
  <c r="J114" i="11" l="1"/>
  <c r="F114" i="11"/>
  <c r="C114" i="11" s="1"/>
  <c r="K114" i="11"/>
  <c r="C123" i="10"/>
  <c r="H114" i="11" l="1"/>
  <c r="B114" i="11"/>
  <c r="B123" i="10"/>
  <c r="I114" i="11" l="1"/>
  <c r="D115" i="11"/>
  <c r="D124" i="10"/>
  <c r="F115" i="11" l="1"/>
  <c r="H115" i="11" s="1"/>
  <c r="I115" i="11" s="1"/>
  <c r="J115" i="11"/>
  <c r="K115" i="11"/>
  <c r="C124" i="10"/>
  <c r="J116" i="11" l="1"/>
  <c r="K116" i="11"/>
  <c r="F116" i="11"/>
  <c r="H116" i="11" s="1"/>
  <c r="I116" i="11" s="1"/>
  <c r="C115" i="11"/>
  <c r="B115" i="11" s="1"/>
  <c r="D116" i="11" s="1"/>
  <c r="B124" i="10"/>
  <c r="F117" i="11" l="1"/>
  <c r="H117" i="11" s="1"/>
  <c r="I117" i="11" s="1"/>
  <c r="K117" i="11"/>
  <c r="J117" i="11"/>
  <c r="C116" i="11"/>
  <c r="B116" i="11" s="1"/>
  <c r="D117" i="11" s="1"/>
  <c r="D125" i="10"/>
  <c r="F118" i="11" l="1"/>
  <c r="H118" i="11" s="1"/>
  <c r="I118" i="11" s="1"/>
  <c r="J118" i="11"/>
  <c r="K118" i="11"/>
  <c r="C117" i="11"/>
  <c r="B117" i="11" s="1"/>
  <c r="D118" i="11" s="1"/>
  <c r="C125" i="10"/>
  <c r="J119" i="11" l="1"/>
  <c r="F119" i="11"/>
  <c r="H119" i="11" s="1"/>
  <c r="I119" i="11" s="1"/>
  <c r="K119" i="11"/>
  <c r="C118" i="11"/>
  <c r="B118" i="11" s="1"/>
  <c r="D119" i="11" s="1"/>
  <c r="B125" i="10"/>
  <c r="F120" i="11" l="1"/>
  <c r="H120" i="11" s="1"/>
  <c r="I120" i="11" s="1"/>
  <c r="K120" i="11"/>
  <c r="J120" i="11"/>
  <c r="C119" i="11"/>
  <c r="B119" i="11" s="1"/>
  <c r="D120" i="11" s="1"/>
  <c r="D126" i="10"/>
  <c r="C126" i="10" s="1"/>
  <c r="B126" i="10" s="1"/>
  <c r="K121" i="11" l="1"/>
  <c r="S121" i="11" s="1"/>
  <c r="F121" i="11"/>
  <c r="J121" i="11"/>
  <c r="R121" i="11" s="1"/>
  <c r="C120" i="11"/>
  <c r="B120" i="11" s="1"/>
  <c r="D121" i="11" s="1"/>
  <c r="D127" i="10"/>
  <c r="C127" i="10" s="1"/>
  <c r="B127" i="10" s="1"/>
  <c r="C121" i="11" l="1"/>
  <c r="L121" i="11" s="1"/>
  <c r="M121" i="11"/>
  <c r="H121" i="11"/>
  <c r="O121" i="11"/>
  <c r="D128" i="10"/>
  <c r="C128" i="10" s="1"/>
  <c r="B128" i="10" s="1"/>
  <c r="B121" i="11" l="1"/>
  <c r="I121" i="11"/>
  <c r="Q121" i="11"/>
  <c r="D122" i="11"/>
  <c r="D129" i="10"/>
  <c r="C129" i="10" s="1"/>
  <c r="B129" i="10" s="1"/>
  <c r="F122" i="11" l="1"/>
  <c r="C122" i="11" s="1"/>
  <c r="J122" i="11"/>
  <c r="K122" i="11"/>
  <c r="D130" i="10"/>
  <c r="C130" i="10" s="1"/>
  <c r="B130" i="10" s="1"/>
  <c r="H122" i="11" l="1"/>
  <c r="B122" i="11"/>
  <c r="D131" i="10"/>
  <c r="C131" i="10" s="1"/>
  <c r="B131" i="10" s="1"/>
  <c r="I122" i="11" l="1"/>
  <c r="D123" i="11"/>
  <c r="D132" i="10"/>
  <c r="F123" i="11" l="1"/>
  <c r="C123" i="11" s="1"/>
  <c r="K123" i="11"/>
  <c r="J123" i="11"/>
  <c r="C132" i="10"/>
  <c r="M132" i="10"/>
  <c r="H123" i="11" l="1"/>
  <c r="B123" i="11"/>
  <c r="L132" i="10"/>
  <c r="B132" i="10"/>
  <c r="I123" i="11" l="1"/>
  <c r="D124" i="11"/>
  <c r="E143" i="10"/>
  <c r="E141" i="10"/>
  <c r="E139" i="10"/>
  <c r="E144" i="10"/>
  <c r="E142" i="10"/>
  <c r="E140" i="10"/>
  <c r="E138" i="10"/>
  <c r="E136" i="10"/>
  <c r="E134" i="10"/>
  <c r="E137" i="10"/>
  <c r="E135" i="10"/>
  <c r="E133" i="10"/>
  <c r="D133" i="10"/>
  <c r="F124" i="11" l="1"/>
  <c r="C124" i="11" s="1"/>
  <c r="J124" i="11"/>
  <c r="K124" i="11"/>
  <c r="C133" i="10"/>
  <c r="N144" i="10"/>
  <c r="H124" i="11" l="1"/>
  <c r="B124" i="11"/>
  <c r="B133" i="10"/>
  <c r="I124" i="11" l="1"/>
  <c r="D125" i="11"/>
  <c r="D134" i="10"/>
  <c r="F125" i="11" l="1"/>
  <c r="C125" i="11" s="1"/>
  <c r="J125" i="11"/>
  <c r="K125" i="11"/>
  <c r="C134" i="10"/>
  <c r="H125" i="11" l="1"/>
  <c r="B125" i="11"/>
  <c r="B134" i="10"/>
  <c r="I125" i="11" l="1"/>
  <c r="D126" i="11"/>
  <c r="D135" i="10"/>
  <c r="J126" i="11" l="1"/>
  <c r="F126" i="11"/>
  <c r="C126" i="11" s="1"/>
  <c r="K126" i="11"/>
  <c r="C135" i="10"/>
  <c r="H126" i="11" l="1"/>
  <c r="B126" i="11"/>
  <c r="B135" i="10"/>
  <c r="I126" i="11" l="1"/>
  <c r="D127" i="11"/>
  <c r="D136" i="10"/>
  <c r="J127" i="11" l="1"/>
  <c r="K127" i="11"/>
  <c r="F127" i="11"/>
  <c r="H127" i="11" s="1"/>
  <c r="I127" i="11" s="1"/>
  <c r="C136" i="10"/>
  <c r="J128" i="11" l="1"/>
  <c r="K128" i="11"/>
  <c r="F128" i="11"/>
  <c r="H128" i="11" s="1"/>
  <c r="I128" i="11" s="1"/>
  <c r="C127" i="11"/>
  <c r="B127" i="11" s="1"/>
  <c r="D128" i="11" s="1"/>
  <c r="B136" i="10"/>
  <c r="F129" i="11" l="1"/>
  <c r="H129" i="11" s="1"/>
  <c r="I129" i="11" s="1"/>
  <c r="J129" i="11"/>
  <c r="K129" i="11"/>
  <c r="C128" i="11"/>
  <c r="B128" i="11" s="1"/>
  <c r="D129" i="11" s="1"/>
  <c r="D137" i="10"/>
  <c r="F130" i="11" l="1"/>
  <c r="H130" i="11" s="1"/>
  <c r="I130" i="11" s="1"/>
  <c r="J130" i="11"/>
  <c r="K130" i="11"/>
  <c r="C129" i="11"/>
  <c r="B129" i="11" s="1"/>
  <c r="D130" i="11" s="1"/>
  <c r="C137" i="10"/>
  <c r="C130" i="11" l="1"/>
  <c r="F131" i="11"/>
  <c r="H131" i="11" s="1"/>
  <c r="I131" i="11" s="1"/>
  <c r="J131" i="11"/>
  <c r="K131" i="11"/>
  <c r="B130" i="11"/>
  <c r="D131" i="11" s="1"/>
  <c r="B137" i="10"/>
  <c r="F132" i="11" l="1"/>
  <c r="H132" i="11" s="1"/>
  <c r="I132" i="11" s="1"/>
  <c r="J132" i="11"/>
  <c r="K132" i="11"/>
  <c r="C131" i="11"/>
  <c r="B131" i="11" s="1"/>
  <c r="D132" i="11" s="1"/>
  <c r="D138" i="10"/>
  <c r="C138" i="10" s="1"/>
  <c r="B138" i="10" s="1"/>
  <c r="F133" i="11" l="1"/>
  <c r="J133" i="11"/>
  <c r="R133" i="11" s="1"/>
  <c r="K133" i="11"/>
  <c r="S133" i="11" s="1"/>
  <c r="C132" i="11"/>
  <c r="B132" i="11" s="1"/>
  <c r="D133" i="11" s="1"/>
  <c r="D139" i="10"/>
  <c r="C139" i="10" s="1"/>
  <c r="B139" i="10" s="1"/>
  <c r="C133" i="11" l="1"/>
  <c r="B133" i="11" s="1"/>
  <c r="M133" i="11"/>
  <c r="H133" i="11"/>
  <c r="O133" i="11"/>
  <c r="D140" i="10"/>
  <c r="C140" i="10" s="1"/>
  <c r="B140" i="10" s="1"/>
  <c r="L133" i="11" l="1"/>
  <c r="I133" i="11"/>
  <c r="Q133" i="11"/>
  <c r="D134" i="11"/>
  <c r="D141" i="10"/>
  <c r="C141" i="10" s="1"/>
  <c r="B141" i="10" s="1"/>
  <c r="F134" i="11" l="1"/>
  <c r="H134" i="11" s="1"/>
  <c r="I134" i="11" s="1"/>
  <c r="J134" i="11"/>
  <c r="K134" i="11"/>
  <c r="D142" i="10"/>
  <c r="C142" i="10" s="1"/>
  <c r="B142" i="10" s="1"/>
  <c r="C134" i="11" l="1"/>
  <c r="B134" i="11" s="1"/>
  <c r="D143" i="10"/>
  <c r="C143" i="10" s="1"/>
  <c r="B143" i="10" s="1"/>
  <c r="D135" i="11" l="1"/>
  <c r="D144" i="10"/>
  <c r="K144" i="10" s="1"/>
  <c r="S144" i="10" s="1"/>
  <c r="J135" i="11" l="1"/>
  <c r="F135" i="11"/>
  <c r="H135" i="11" s="1"/>
  <c r="I135" i="11" s="1"/>
  <c r="K135" i="11"/>
  <c r="J144" i="10"/>
  <c r="R144" i="10" s="1"/>
  <c r="F144" i="10"/>
  <c r="C144" i="10" s="1"/>
  <c r="M144" i="10"/>
  <c r="C135" i="11" l="1"/>
  <c r="B135" i="11" s="1"/>
  <c r="O144" i="10"/>
  <c r="H144" i="10"/>
  <c r="L144" i="10"/>
  <c r="B144" i="10"/>
  <c r="I144" i="10" l="1"/>
  <c r="Q144" i="10"/>
  <c r="D136" i="11"/>
  <c r="E155" i="10"/>
  <c r="E153" i="10"/>
  <c r="E151" i="10"/>
  <c r="E149" i="10"/>
  <c r="E147" i="10"/>
  <c r="E145" i="10"/>
  <c r="E156" i="10"/>
  <c r="E154" i="10"/>
  <c r="E152" i="10"/>
  <c r="E150" i="10"/>
  <c r="E148" i="10"/>
  <c r="E146" i="10"/>
  <c r="D145" i="10"/>
  <c r="J145" i="10" s="1"/>
  <c r="F136" i="11" l="1"/>
  <c r="H136" i="11" s="1"/>
  <c r="I136" i="11" s="1"/>
  <c r="J136" i="11"/>
  <c r="K136" i="11"/>
  <c r="K145" i="10"/>
  <c r="F145" i="10"/>
  <c r="N156" i="10"/>
  <c r="C136" i="11" l="1"/>
  <c r="B136" i="11" s="1"/>
  <c r="H145" i="10"/>
  <c r="C145" i="10"/>
  <c r="B145" i="10" s="1"/>
  <c r="I145" i="10" l="1"/>
  <c r="D137" i="11"/>
  <c r="D146" i="10"/>
  <c r="J146" i="10" s="1"/>
  <c r="F137" i="11" l="1"/>
  <c r="H137" i="11" s="1"/>
  <c r="I137" i="11" s="1"/>
  <c r="J137" i="11"/>
  <c r="K137" i="11"/>
  <c r="F146" i="10"/>
  <c r="C146" i="10" s="1"/>
  <c r="K146" i="10"/>
  <c r="C137" i="11" l="1"/>
  <c r="B137" i="11" s="1"/>
  <c r="H146" i="10"/>
  <c r="B146" i="10"/>
  <c r="I146" i="10" l="1"/>
  <c r="D138" i="11"/>
  <c r="D147" i="10"/>
  <c r="F147" i="10" s="1"/>
  <c r="J138" i="11" l="1"/>
  <c r="F138" i="11"/>
  <c r="H138" i="11" s="1"/>
  <c r="I138" i="11" s="1"/>
  <c r="K138" i="11"/>
  <c r="K147" i="10"/>
  <c r="H147" i="10"/>
  <c r="J147" i="10"/>
  <c r="C147" i="10"/>
  <c r="C138" i="11" l="1"/>
  <c r="B138" i="11" s="1"/>
  <c r="I147" i="10"/>
  <c r="B147" i="10"/>
  <c r="D139" i="11" l="1"/>
  <c r="D148" i="10"/>
  <c r="F148" i="10" s="1"/>
  <c r="F139" i="11" l="1"/>
  <c r="H139" i="11" s="1"/>
  <c r="I139" i="11" s="1"/>
  <c r="K139" i="11"/>
  <c r="J139" i="11"/>
  <c r="H148" i="10"/>
  <c r="K148" i="10"/>
  <c r="J148" i="10"/>
  <c r="C148" i="10"/>
  <c r="F140" i="11" l="1"/>
  <c r="H140" i="11" s="1"/>
  <c r="I140" i="11" s="1"/>
  <c r="K140" i="11"/>
  <c r="J140" i="11"/>
  <c r="C139" i="11"/>
  <c r="B139" i="11" s="1"/>
  <c r="D140" i="11" s="1"/>
  <c r="I148" i="10"/>
  <c r="B148" i="10"/>
  <c r="F141" i="11" l="1"/>
  <c r="H141" i="11" s="1"/>
  <c r="I141" i="11" s="1"/>
  <c r="J141" i="11"/>
  <c r="K141" i="11"/>
  <c r="C140" i="11"/>
  <c r="B140" i="11" s="1"/>
  <c r="D141" i="11" s="1"/>
  <c r="D149" i="10"/>
  <c r="K149" i="10" s="1"/>
  <c r="F142" i="11" l="1"/>
  <c r="H142" i="11" s="1"/>
  <c r="I142" i="11" s="1"/>
  <c r="K142" i="11"/>
  <c r="J142" i="11"/>
  <c r="C141" i="11"/>
  <c r="B141" i="11" s="1"/>
  <c r="D142" i="11" s="1"/>
  <c r="F149" i="10"/>
  <c r="H149" i="10" s="1"/>
  <c r="J149" i="10"/>
  <c r="J143" i="11" l="1"/>
  <c r="F143" i="11"/>
  <c r="H143" i="11" s="1"/>
  <c r="I143" i="11" s="1"/>
  <c r="K143" i="11"/>
  <c r="C142" i="11"/>
  <c r="B142" i="11" s="1"/>
  <c r="D143" i="11" s="1"/>
  <c r="C149" i="10"/>
  <c r="B149" i="10" s="1"/>
  <c r="I149" i="10"/>
  <c r="J144" i="11" l="1"/>
  <c r="K144" i="11"/>
  <c r="F144" i="11"/>
  <c r="H144" i="11" s="1"/>
  <c r="I144" i="11" s="1"/>
  <c r="C143" i="11"/>
  <c r="B143" i="11" s="1"/>
  <c r="D144" i="11" s="1"/>
  <c r="D150" i="10"/>
  <c r="K150" i="10" s="1"/>
  <c r="C144" i="11" l="1"/>
  <c r="B144" i="11" s="1"/>
  <c r="D145" i="11" s="1"/>
  <c r="J145" i="11" s="1"/>
  <c r="R145" i="11" s="1"/>
  <c r="K145" i="11"/>
  <c r="S145" i="11" s="1"/>
  <c r="F145" i="11"/>
  <c r="H145" i="11" s="1"/>
  <c r="F150" i="10"/>
  <c r="H150" i="10" s="1"/>
  <c r="I150" i="10" s="1"/>
  <c r="J150" i="10"/>
  <c r="M145" i="11" l="1"/>
  <c r="C150" i="10"/>
  <c r="B150" i="10" s="1"/>
  <c r="D151" i="10" s="1"/>
  <c r="C145" i="11"/>
  <c r="L145" i="11" s="1"/>
  <c r="O145" i="11"/>
  <c r="I145" i="11"/>
  <c r="Q145" i="11"/>
  <c r="J151" i="10"/>
  <c r="F151" i="10"/>
  <c r="H151" i="10" s="1"/>
  <c r="I151" i="10" s="1"/>
  <c r="K151" i="10"/>
  <c r="B145" i="11" l="1"/>
  <c r="D146" i="11" s="1"/>
  <c r="K146" i="11" s="1"/>
  <c r="C151" i="10"/>
  <c r="B151" i="10" s="1"/>
  <c r="J146" i="11" l="1"/>
  <c r="J152" i="10"/>
  <c r="D152" i="10"/>
  <c r="K152" i="10" s="1"/>
  <c r="F146" i="11"/>
  <c r="C146" i="11" s="1"/>
  <c r="F152" i="10" l="1"/>
  <c r="H152" i="10" s="1"/>
  <c r="I152" i="10" s="1"/>
  <c r="H146" i="11"/>
  <c r="I146" i="11" s="1"/>
  <c r="B146" i="11"/>
  <c r="C152" i="10" l="1"/>
  <c r="B152" i="10" s="1"/>
  <c r="D153" i="10" s="1"/>
  <c r="J153" i="10" s="1"/>
  <c r="D147" i="11"/>
  <c r="K147" i="11" s="1"/>
  <c r="F147" i="11" l="1"/>
  <c r="C147" i="11" s="1"/>
  <c r="J147" i="11"/>
  <c r="K153" i="10"/>
  <c r="F153" i="10"/>
  <c r="H153" i="10" s="1"/>
  <c r="I153" i="10" s="1"/>
  <c r="H147" i="11" l="1"/>
  <c r="I147" i="11" s="1"/>
  <c r="C153" i="10"/>
  <c r="B153" i="10" s="1"/>
  <c r="B147" i="11"/>
  <c r="D154" i="10" l="1"/>
  <c r="K154" i="10" s="1"/>
  <c r="D148" i="11"/>
  <c r="J148" i="11" s="1"/>
  <c r="K148" i="11" l="1"/>
  <c r="J154" i="10"/>
  <c r="F148" i="11"/>
  <c r="C148" i="11" s="1"/>
  <c r="F154" i="10"/>
  <c r="H154" i="10" s="1"/>
  <c r="I154" i="10" s="1"/>
  <c r="H148" i="11" l="1"/>
  <c r="C154" i="10"/>
  <c r="B148" i="11"/>
  <c r="B154" i="10" l="1"/>
  <c r="I148" i="11"/>
  <c r="D149" i="11"/>
  <c r="K149" i="11" s="1"/>
  <c r="F149" i="11" l="1"/>
  <c r="C149" i="11" s="1"/>
  <c r="J149" i="11"/>
  <c r="D155" i="10"/>
  <c r="J155" i="10" s="1"/>
  <c r="K155" i="10" l="1"/>
  <c r="F155" i="10"/>
  <c r="H155" i="10" s="1"/>
  <c r="I155" i="10" s="1"/>
  <c r="H149" i="11"/>
  <c r="B149" i="11"/>
  <c r="I149" i="11" l="1"/>
  <c r="C155" i="10"/>
  <c r="D150" i="11"/>
  <c r="K150" i="11" s="1"/>
  <c r="J150" i="11" l="1"/>
  <c r="F150" i="11"/>
  <c r="B155" i="10"/>
  <c r="D156" i="10" l="1"/>
  <c r="M156" i="10" s="1"/>
  <c r="H150" i="11"/>
  <c r="I150" i="11" s="1"/>
  <c r="C150" i="11"/>
  <c r="B150" i="11" s="1"/>
  <c r="K156" i="10" l="1"/>
  <c r="S156" i="10" s="1"/>
  <c r="J156" i="10"/>
  <c r="R156" i="10" s="1"/>
  <c r="F156" i="10"/>
  <c r="D151" i="11"/>
  <c r="H156" i="10" l="1"/>
  <c r="O156" i="10"/>
  <c r="C156" i="10"/>
  <c r="F151" i="11"/>
  <c r="H151" i="11" s="1"/>
  <c r="I151" i="11" s="1"/>
  <c r="K151" i="11"/>
  <c r="J151" i="11"/>
  <c r="L156" i="10" l="1"/>
  <c r="B156" i="10"/>
  <c r="I156" i="10"/>
  <c r="Q156" i="10"/>
  <c r="C151" i="11"/>
  <c r="B151" i="11" s="1"/>
  <c r="E163" i="10" l="1"/>
  <c r="E168" i="10"/>
  <c r="E160" i="10"/>
  <c r="E157" i="10"/>
  <c r="E161" i="10"/>
  <c r="E166" i="10"/>
  <c r="E158" i="10"/>
  <c r="E162" i="10"/>
  <c r="E167" i="10"/>
  <c r="E159" i="10"/>
  <c r="E164" i="10"/>
  <c r="E165" i="10"/>
  <c r="D157" i="10"/>
  <c r="J157" i="10" s="1"/>
  <c r="D152" i="11"/>
  <c r="J152" i="11" s="1"/>
  <c r="N168" i="10" l="1"/>
  <c r="F152" i="11"/>
  <c r="H152" i="11" s="1"/>
  <c r="I152" i="11" s="1"/>
  <c r="K152" i="11"/>
  <c r="K157" i="10"/>
  <c r="F157" i="10"/>
  <c r="C152" i="11" l="1"/>
  <c r="B152" i="11" s="1"/>
  <c r="D153" i="11" s="1"/>
  <c r="F153" i="11" s="1"/>
  <c r="H153" i="11" s="1"/>
  <c r="I153" i="11" s="1"/>
  <c r="H157" i="10"/>
  <c r="C157" i="10"/>
  <c r="B157" i="10" s="1"/>
  <c r="J153" i="11" l="1"/>
  <c r="I157" i="10"/>
  <c r="C153" i="11"/>
  <c r="B153" i="11" s="1"/>
  <c r="D158" i="10"/>
  <c r="K158" i="10" s="1"/>
  <c r="K153" i="11"/>
  <c r="J158" i="10" l="1"/>
  <c r="D154" i="11"/>
  <c r="J154" i="11" s="1"/>
  <c r="F158" i="10"/>
  <c r="H158" i="10" l="1"/>
  <c r="C158" i="10"/>
  <c r="B158" i="10" s="1"/>
  <c r="K154" i="11"/>
  <c r="F154" i="11"/>
  <c r="H154" i="11" s="1"/>
  <c r="I154" i="11" s="1"/>
  <c r="C154" i="11" l="1"/>
  <c r="B154" i="11" s="1"/>
  <c r="D155" i="11" s="1"/>
  <c r="J155" i="11" s="1"/>
  <c r="D159" i="10"/>
  <c r="J159" i="10" s="1"/>
  <c r="I158" i="10"/>
  <c r="K155" i="11" l="1"/>
  <c r="F155" i="11"/>
  <c r="H155" i="11" s="1"/>
  <c r="I155" i="11" s="1"/>
  <c r="K159" i="10"/>
  <c r="F159" i="10"/>
  <c r="C155" i="11" l="1"/>
  <c r="B155" i="11" s="1"/>
  <c r="H159" i="10"/>
  <c r="C159" i="10"/>
  <c r="B159" i="10" s="1"/>
  <c r="I159" i="10" l="1"/>
  <c r="K160" i="10"/>
  <c r="F160" i="10"/>
  <c r="D160" i="10"/>
  <c r="J160" i="10" s="1"/>
  <c r="D156" i="11"/>
  <c r="F156" i="11" s="1"/>
  <c r="H156" i="11" s="1"/>
  <c r="I156" i="11" s="1"/>
  <c r="J156" i="11" l="1"/>
  <c r="C156" i="11"/>
  <c r="K156" i="11"/>
  <c r="H160" i="10"/>
  <c r="C160" i="10"/>
  <c r="B160" i="10" s="1"/>
  <c r="I160" i="10" l="1"/>
  <c r="D161" i="10"/>
  <c r="K161" i="10" s="1"/>
  <c r="B156" i="11"/>
  <c r="D157" i="11" l="1"/>
  <c r="M157" i="11" s="1"/>
  <c r="F161" i="10"/>
  <c r="J161" i="10"/>
  <c r="H161" i="10" l="1"/>
  <c r="C161" i="10"/>
  <c r="F157" i="11"/>
  <c r="J157" i="11"/>
  <c r="R157" i="11" s="1"/>
  <c r="K157" i="11"/>
  <c r="S157" i="11" s="1"/>
  <c r="B161" i="10" l="1"/>
  <c r="H157" i="11"/>
  <c r="O157" i="11"/>
  <c r="C157" i="11"/>
  <c r="I161" i="10"/>
  <c r="I157" i="11" l="1"/>
  <c r="Q157" i="11"/>
  <c r="L157" i="11"/>
  <c r="B157" i="11"/>
  <c r="D162" i="10"/>
  <c r="J162" i="10" s="1"/>
  <c r="K162" i="10" l="1"/>
  <c r="D158" i="11"/>
  <c r="K158" i="11" s="1"/>
  <c r="F162" i="10"/>
  <c r="H162" i="10" s="1"/>
  <c r="I162" i="10" s="1"/>
  <c r="F158" i="11" l="1"/>
  <c r="H158" i="11" s="1"/>
  <c r="I158" i="11" s="1"/>
  <c r="J158" i="11"/>
  <c r="C162" i="10"/>
  <c r="B162" i="10" s="1"/>
  <c r="C158" i="11" l="1"/>
  <c r="B158" i="11" s="1"/>
  <c r="D159" i="11" s="1"/>
  <c r="F159" i="11" s="1"/>
  <c r="D163" i="10"/>
  <c r="J163" i="10" s="1"/>
  <c r="F163" i="10" l="1"/>
  <c r="H163" i="10" s="1"/>
  <c r="I163" i="10" s="1"/>
  <c r="K163" i="10"/>
  <c r="H159" i="11"/>
  <c r="C159" i="11"/>
  <c r="B159" i="11" s="1"/>
  <c r="J159" i="11"/>
  <c r="K159" i="11"/>
  <c r="C163" i="10" l="1"/>
  <c r="B163" i="10" s="1"/>
  <c r="D160" i="11"/>
  <c r="K160" i="11" s="1"/>
  <c r="I159" i="11"/>
  <c r="F160" i="11" l="1"/>
  <c r="H160" i="11" s="1"/>
  <c r="J160" i="11"/>
  <c r="D164" i="10"/>
  <c r="J164" i="10" s="1"/>
  <c r="C160" i="11" l="1"/>
  <c r="B160" i="11" s="1"/>
  <c r="D161" i="11" s="1"/>
  <c r="J161" i="11" s="1"/>
  <c r="K164" i="10"/>
  <c r="F164" i="10"/>
  <c r="H164" i="10" s="1"/>
  <c r="I164" i="10" s="1"/>
  <c r="I160" i="11"/>
  <c r="F161" i="11" l="1"/>
  <c r="H161" i="11" s="1"/>
  <c r="K161" i="11"/>
  <c r="C164" i="10"/>
  <c r="C161" i="11" l="1"/>
  <c r="B161" i="11" s="1"/>
  <c r="D162" i="11" s="1"/>
  <c r="J162" i="11" s="1"/>
  <c r="B164" i="10"/>
  <c r="I161" i="11"/>
  <c r="D165" i="10" l="1"/>
  <c r="K162" i="11"/>
  <c r="F162" i="11"/>
  <c r="K165" i="10" l="1"/>
  <c r="F165" i="10"/>
  <c r="H165" i="10" s="1"/>
  <c r="I165" i="10" s="1"/>
  <c r="H162" i="11"/>
  <c r="I162" i="11" s="1"/>
  <c r="C162" i="11"/>
  <c r="B162" i="11" s="1"/>
  <c r="J165" i="10"/>
  <c r="D163" i="11" l="1"/>
  <c r="C165" i="10"/>
  <c r="K163" i="11" l="1"/>
  <c r="J163" i="11"/>
  <c r="B165" i="10"/>
  <c r="F163" i="11"/>
  <c r="H163" i="11" s="1"/>
  <c r="I163" i="11" s="1"/>
  <c r="C163" i="11" l="1"/>
  <c r="B163" i="11" s="1"/>
  <c r="D166" i="10"/>
  <c r="F166" i="10" l="1"/>
  <c r="H166" i="10" s="1"/>
  <c r="I166" i="10" s="1"/>
  <c r="J166" i="10"/>
  <c r="K166" i="10"/>
  <c r="F164" i="11"/>
  <c r="H164" i="11" s="1"/>
  <c r="I164" i="11" s="1"/>
  <c r="D164" i="11"/>
  <c r="K164" i="11" s="1"/>
  <c r="J164" i="11" l="1"/>
  <c r="C164" i="11"/>
  <c r="C166" i="10"/>
  <c r="B166" i="10" s="1"/>
  <c r="D167" i="10" l="1"/>
  <c r="K167" i="10" s="1"/>
  <c r="B164" i="11"/>
  <c r="F167" i="10" l="1"/>
  <c r="H167" i="10" s="1"/>
  <c r="I167" i="10" s="1"/>
  <c r="D165" i="11"/>
  <c r="J165" i="11" s="1"/>
  <c r="J167" i="10"/>
  <c r="F165" i="11" l="1"/>
  <c r="H165" i="11" s="1"/>
  <c r="I165" i="11" s="1"/>
  <c r="K165" i="11"/>
  <c r="C167" i="10"/>
  <c r="B167" i="10" s="1"/>
  <c r="D168" i="10" s="1"/>
  <c r="M168" i="10" s="1"/>
  <c r="C165" i="11" l="1"/>
  <c r="B165" i="11" s="1"/>
  <c r="K168" i="10"/>
  <c r="S168" i="10" s="1"/>
  <c r="J168" i="10"/>
  <c r="R168" i="10" s="1"/>
  <c r="F168" i="10"/>
  <c r="H168" i="10" l="1"/>
  <c r="C168" i="10"/>
  <c r="O168" i="10"/>
  <c r="D166" i="11"/>
  <c r="K166" i="11" s="1"/>
  <c r="J166" i="11" l="1"/>
  <c r="I168" i="10"/>
  <c r="Q168" i="10"/>
  <c r="F166" i="11"/>
  <c r="H166" i="11" s="1"/>
  <c r="I166" i="11" s="1"/>
  <c r="L168" i="10"/>
  <c r="B168" i="10"/>
  <c r="E177" i="10" l="1"/>
  <c r="E169" i="10"/>
  <c r="E174" i="10"/>
  <c r="E175" i="10"/>
  <c r="E172" i="10"/>
  <c r="E173" i="10"/>
  <c r="E179" i="10"/>
  <c r="E180" i="10"/>
  <c r="E178" i="10"/>
  <c r="E171" i="10"/>
  <c r="E170" i="10"/>
  <c r="E176" i="10"/>
  <c r="D169" i="10"/>
  <c r="F169" i="10" s="1"/>
  <c r="C166" i="11"/>
  <c r="N180" i="10" l="1"/>
  <c r="H169" i="10"/>
  <c r="C169" i="10"/>
  <c r="J169" i="10"/>
  <c r="B166" i="11"/>
  <c r="K169" i="10"/>
  <c r="B169" i="10" l="1"/>
  <c r="I169" i="10"/>
  <c r="D167" i="11"/>
  <c r="J167" i="11" s="1"/>
  <c r="K167" i="11" l="1"/>
  <c r="F167" i="11"/>
  <c r="H167" i="11" s="1"/>
  <c r="I167" i="11" s="1"/>
  <c r="D170" i="10"/>
  <c r="K170" i="10" s="1"/>
  <c r="C167" i="11" l="1"/>
  <c r="B167" i="11" s="1"/>
  <c r="J170" i="10"/>
  <c r="F170" i="10"/>
  <c r="D168" i="11" l="1"/>
  <c r="H170" i="10"/>
  <c r="C170" i="10"/>
  <c r="B170" i="10" l="1"/>
  <c r="K168" i="11"/>
  <c r="I170" i="10"/>
  <c r="F168" i="11"/>
  <c r="H168" i="11" s="1"/>
  <c r="I168" i="11" s="1"/>
  <c r="J168" i="11"/>
  <c r="D171" i="10" l="1"/>
  <c r="F171" i="10" s="1"/>
  <c r="C168" i="11"/>
  <c r="B168" i="11" s="1"/>
  <c r="H171" i="10" l="1"/>
  <c r="C171" i="10"/>
  <c r="D169" i="11"/>
  <c r="M169" i="11" s="1"/>
  <c r="K171" i="10"/>
  <c r="J171" i="10"/>
  <c r="K169" i="11" l="1"/>
  <c r="S169" i="11" s="1"/>
  <c r="J169" i="11"/>
  <c r="R169" i="11" s="1"/>
  <c r="B171" i="10"/>
  <c r="I171" i="10"/>
  <c r="F169" i="11"/>
  <c r="H169" i="11" l="1"/>
  <c r="O169" i="11"/>
  <c r="C169" i="11"/>
  <c r="D172" i="10"/>
  <c r="J172" i="10" s="1"/>
  <c r="K172" i="10" l="1"/>
  <c r="F172" i="10"/>
  <c r="L169" i="11"/>
  <c r="B169" i="11"/>
  <c r="I169" i="11"/>
  <c r="Q169" i="11"/>
  <c r="D170" i="11" l="1"/>
  <c r="K170" i="11" s="1"/>
  <c r="H172" i="10"/>
  <c r="C172" i="10"/>
  <c r="F170" i="11" l="1"/>
  <c r="C170" i="11" s="1"/>
  <c r="B170" i="11" s="1"/>
  <c r="J170" i="11"/>
  <c r="I172" i="10"/>
  <c r="B172" i="10"/>
  <c r="H170" i="11" l="1"/>
  <c r="I170" i="11" s="1"/>
  <c r="D171" i="11"/>
  <c r="K171" i="11" s="1"/>
  <c r="D173" i="10"/>
  <c r="K173" i="10" s="1"/>
  <c r="J173" i="10" l="1"/>
  <c r="F171" i="11"/>
  <c r="H171" i="11" s="1"/>
  <c r="F173" i="10"/>
  <c r="C173" i="10" s="1"/>
  <c r="J171" i="11"/>
  <c r="H173" i="10" l="1"/>
  <c r="I173" i="10" s="1"/>
  <c r="C171" i="11"/>
  <c r="B171" i="11" s="1"/>
  <c r="D172" i="11" s="1"/>
  <c r="B173" i="10"/>
  <c r="I171" i="11"/>
  <c r="J172" i="11" l="1"/>
  <c r="K172" i="11"/>
  <c r="D174" i="10"/>
  <c r="J174" i="10" s="1"/>
  <c r="F172" i="11"/>
  <c r="H172" i="11" l="1"/>
  <c r="C172" i="11"/>
  <c r="F174" i="10"/>
  <c r="H174" i="10" s="1"/>
  <c r="I174" i="10" s="1"/>
  <c r="K174" i="10"/>
  <c r="C174" i="10" l="1"/>
  <c r="B174" i="10" s="1"/>
  <c r="D175" i="10" s="1"/>
  <c r="K175" i="10" s="1"/>
  <c r="B172" i="11"/>
  <c r="I172" i="11"/>
  <c r="D173" i="11" l="1"/>
  <c r="F175" i="10"/>
  <c r="H175" i="10" s="1"/>
  <c r="I175" i="10" s="1"/>
  <c r="J175" i="10"/>
  <c r="J173" i="11" l="1"/>
  <c r="F173" i="11"/>
  <c r="C175" i="10"/>
  <c r="B175" i="10" s="1"/>
  <c r="K173" i="11"/>
  <c r="H173" i="11" l="1"/>
  <c r="C173" i="11"/>
  <c r="D176" i="10"/>
  <c r="K176" i="10" s="1"/>
  <c r="J176" i="10" l="1"/>
  <c r="B173" i="11"/>
  <c r="F176" i="10"/>
  <c r="H176" i="10" s="1"/>
  <c r="I176" i="10" s="1"/>
  <c r="I173" i="11"/>
  <c r="D174" i="11" l="1"/>
  <c r="F174" i="11" s="1"/>
  <c r="C176" i="10"/>
  <c r="B176" i="10" s="1"/>
  <c r="H174" i="11" l="1"/>
  <c r="I174" i="11" s="1"/>
  <c r="C174" i="11"/>
  <c r="D177" i="10"/>
  <c r="J174" i="11"/>
  <c r="K174" i="11"/>
  <c r="B174" i="11" l="1"/>
  <c r="K177" i="10"/>
  <c r="J177" i="10"/>
  <c r="F177" i="10"/>
  <c r="H177" i="10" s="1"/>
  <c r="I177" i="10" s="1"/>
  <c r="C177" i="10" l="1"/>
  <c r="B177" i="10" s="1"/>
  <c r="D175" i="11"/>
  <c r="J175" i="11" s="1"/>
  <c r="F175" i="11" l="1"/>
  <c r="H175" i="11" s="1"/>
  <c r="I175" i="11" s="1"/>
  <c r="K175" i="11"/>
  <c r="D178" i="10"/>
  <c r="K178" i="10" s="1"/>
  <c r="F178" i="10" l="1"/>
  <c r="H178" i="10" s="1"/>
  <c r="I178" i="10" s="1"/>
  <c r="C175" i="11"/>
  <c r="B175" i="11" s="1"/>
  <c r="J178" i="10"/>
  <c r="C178" i="10" l="1"/>
  <c r="B178" i="10" s="1"/>
  <c r="D179" i="10" s="1"/>
  <c r="K179" i="10" s="1"/>
  <c r="D176" i="11"/>
  <c r="F179" i="10" l="1"/>
  <c r="H179" i="10" s="1"/>
  <c r="I179" i="10" s="1"/>
  <c r="K176" i="11"/>
  <c r="F176" i="11"/>
  <c r="H176" i="11" s="1"/>
  <c r="I176" i="11" s="1"/>
  <c r="J176" i="11"/>
  <c r="J179" i="10"/>
  <c r="C179" i="10" l="1"/>
  <c r="B179" i="10" s="1"/>
  <c r="C176" i="11"/>
  <c r="B176" i="11" l="1"/>
  <c r="D180" i="10"/>
  <c r="M180" i="10" s="1"/>
  <c r="J180" i="10" l="1"/>
  <c r="R180" i="10" s="1"/>
  <c r="F180" i="10"/>
  <c r="K180" i="10"/>
  <c r="S180" i="10" s="1"/>
  <c r="D177" i="11"/>
  <c r="F177" i="11" s="1"/>
  <c r="H177" i="11" s="1"/>
  <c r="I177" i="11" s="1"/>
  <c r="J177" i="11" l="1"/>
  <c r="C177" i="11"/>
  <c r="B177" i="11" s="1"/>
  <c r="K177" i="11"/>
  <c r="H180" i="10"/>
  <c r="C180" i="10"/>
  <c r="O180" i="10"/>
  <c r="L180" i="10" l="1"/>
  <c r="B180" i="10"/>
  <c r="I180" i="10"/>
  <c r="Q180" i="10"/>
  <c r="D178" i="11"/>
  <c r="E191" i="10" l="1"/>
  <c r="E183" i="10"/>
  <c r="E192" i="10"/>
  <c r="E187" i="10"/>
  <c r="E189" i="10"/>
  <c r="E181" i="10"/>
  <c r="E188" i="10"/>
  <c r="E190" i="10"/>
  <c r="E185" i="10"/>
  <c r="E182" i="10"/>
  <c r="E186" i="10"/>
  <c r="E184" i="10"/>
  <c r="D181" i="10"/>
  <c r="J181" i="10" s="1"/>
  <c r="K178" i="11"/>
  <c r="F178" i="11"/>
  <c r="H178" i="11" s="1"/>
  <c r="I178" i="11" s="1"/>
  <c r="J178" i="11"/>
  <c r="N192" i="10" l="1"/>
  <c r="F181" i="10"/>
  <c r="H181" i="10" s="1"/>
  <c r="K181" i="10"/>
  <c r="C178" i="11"/>
  <c r="B178" i="11" s="1"/>
  <c r="C181" i="10" l="1"/>
  <c r="B181" i="10" s="1"/>
  <c r="D179" i="11"/>
  <c r="I181" i="10"/>
  <c r="J179" i="11" l="1"/>
  <c r="D182" i="10"/>
  <c r="J182" i="10" s="1"/>
  <c r="K179" i="11"/>
  <c r="F179" i="11"/>
  <c r="H179" i="11" s="1"/>
  <c r="I179" i="11" s="1"/>
  <c r="K182" i="10" l="1"/>
  <c r="F182" i="10"/>
  <c r="C179" i="11"/>
  <c r="B179" i="11" s="1"/>
  <c r="H182" i="10" l="1"/>
  <c r="C182" i="10"/>
  <c r="D180" i="11"/>
  <c r="J180" i="11" s="1"/>
  <c r="F180" i="11" l="1"/>
  <c r="H180" i="11" s="1"/>
  <c r="I180" i="11" s="1"/>
  <c r="B182" i="10"/>
  <c r="K180" i="11"/>
  <c r="I182" i="10"/>
  <c r="C180" i="11" l="1"/>
  <c r="B180" i="11" s="1"/>
  <c r="D183" i="10"/>
  <c r="F183" i="10" s="1"/>
  <c r="D181" i="11" l="1"/>
  <c r="M181" i="11" s="1"/>
  <c r="H183" i="10"/>
  <c r="C183" i="10"/>
  <c r="K183" i="10"/>
  <c r="J183" i="10"/>
  <c r="F181" i="11" l="1"/>
  <c r="H181" i="11" s="1"/>
  <c r="I181" i="11" s="1"/>
  <c r="J181" i="11"/>
  <c r="R181" i="11" s="1"/>
  <c r="K181" i="11"/>
  <c r="S181" i="11" s="1"/>
  <c r="B183" i="10"/>
  <c r="I183" i="10"/>
  <c r="Q181" i="11" l="1"/>
  <c r="C181" i="11"/>
  <c r="L181" i="11" s="1"/>
  <c r="O181" i="11"/>
  <c r="J184" i="10"/>
  <c r="D184" i="10"/>
  <c r="K184" i="10" s="1"/>
  <c r="B181" i="11" l="1"/>
  <c r="D182" i="11" s="1"/>
  <c r="F184" i="10"/>
  <c r="H184" i="10" s="1"/>
  <c r="F182" i="11"/>
  <c r="J182" i="11"/>
  <c r="K182" i="11"/>
  <c r="C184" i="10" l="1"/>
  <c r="B184" i="10" s="1"/>
  <c r="I184" i="10"/>
  <c r="H182" i="11"/>
  <c r="I182" i="11" s="1"/>
  <c r="C182" i="11"/>
  <c r="B182" i="11" l="1"/>
  <c r="D185" i="10"/>
  <c r="J185" i="10" s="1"/>
  <c r="K185" i="10" l="1"/>
  <c r="D183" i="11"/>
  <c r="F185" i="10"/>
  <c r="K183" i="11" l="1"/>
  <c r="H185" i="10"/>
  <c r="C185" i="10"/>
  <c r="F183" i="11"/>
  <c r="J183" i="11"/>
  <c r="B185" i="10" l="1"/>
  <c r="I185" i="10"/>
  <c r="H183" i="11"/>
  <c r="C183" i="11"/>
  <c r="B183" i="11" l="1"/>
  <c r="D186" i="10"/>
  <c r="K186" i="10" s="1"/>
  <c r="I183" i="11"/>
  <c r="J186" i="10" l="1"/>
  <c r="D184" i="11"/>
  <c r="J184" i="11" s="1"/>
  <c r="F186" i="10"/>
  <c r="H186" i="10" s="1"/>
  <c r="I186" i="10" s="1"/>
  <c r="K184" i="11" l="1"/>
  <c r="F184" i="11"/>
  <c r="H184" i="11" s="1"/>
  <c r="C186" i="10"/>
  <c r="B186" i="10" s="1"/>
  <c r="C184" i="11" l="1"/>
  <c r="B184" i="11" s="1"/>
  <c r="I184" i="11"/>
  <c r="D187" i="10"/>
  <c r="F187" i="10" s="1"/>
  <c r="H187" i="10" s="1"/>
  <c r="I187" i="10" s="1"/>
  <c r="J187" i="10" l="1"/>
  <c r="K187" i="10"/>
  <c r="D185" i="11"/>
  <c r="F185" i="11" s="1"/>
  <c r="C187" i="10"/>
  <c r="B187" i="10" s="1"/>
  <c r="H185" i="11" l="1"/>
  <c r="C185" i="11"/>
  <c r="K185" i="11"/>
  <c r="D188" i="10"/>
  <c r="J185" i="11"/>
  <c r="B185" i="11" l="1"/>
  <c r="K188" i="10"/>
  <c r="F188" i="10"/>
  <c r="H188" i="10" s="1"/>
  <c r="I188" i="10" s="1"/>
  <c r="J188" i="10"/>
  <c r="I185" i="11"/>
  <c r="D186" i="11" l="1"/>
  <c r="J186" i="11" s="1"/>
  <c r="C188" i="10"/>
  <c r="B188" i="10" s="1"/>
  <c r="F186" i="11" l="1"/>
  <c r="K186" i="11"/>
  <c r="D189" i="10"/>
  <c r="K189" i="10" s="1"/>
  <c r="J189" i="10" l="1"/>
  <c r="F189" i="10"/>
  <c r="H189" i="10" s="1"/>
  <c r="I189" i="10" s="1"/>
  <c r="H186" i="11"/>
  <c r="I186" i="11" s="1"/>
  <c r="C186" i="11"/>
  <c r="C189" i="10" l="1"/>
  <c r="B189" i="10" s="1"/>
  <c r="D190" i="10" s="1"/>
  <c r="F190" i="10" s="1"/>
  <c r="H190" i="10" s="1"/>
  <c r="I190" i="10" s="1"/>
  <c r="B186" i="11"/>
  <c r="K190" i="10"/>
  <c r="J190" i="10"/>
  <c r="C190" i="10" l="1"/>
  <c r="B190" i="10" s="1"/>
  <c r="D187" i="11"/>
  <c r="J187" i="11" s="1"/>
  <c r="F187" i="11" l="1"/>
  <c r="H187" i="11" s="1"/>
  <c r="I187" i="11" s="1"/>
  <c r="K187" i="11"/>
  <c r="D191" i="10"/>
  <c r="J191" i="10" s="1"/>
  <c r="F191" i="10" l="1"/>
  <c r="H191" i="10" s="1"/>
  <c r="I191" i="10" s="1"/>
  <c r="K191" i="10"/>
  <c r="C187" i="11"/>
  <c r="B187" i="11" s="1"/>
  <c r="D188" i="11" s="1"/>
  <c r="J188" i="11" s="1"/>
  <c r="C191" i="10" l="1"/>
  <c r="B191" i="10" s="1"/>
  <c r="D192" i="10" s="1"/>
  <c r="M192" i="10" s="1"/>
  <c r="K188" i="11"/>
  <c r="F188" i="11"/>
  <c r="H188" i="11" s="1"/>
  <c r="I188" i="11" s="1"/>
  <c r="F192" i="10" l="1"/>
  <c r="H192" i="10" s="1"/>
  <c r="J192" i="10"/>
  <c r="R192" i="10" s="1"/>
  <c r="K192" i="10"/>
  <c r="S192" i="10" s="1"/>
  <c r="C188" i="11"/>
  <c r="B188" i="11" s="1"/>
  <c r="O192" i="10" l="1"/>
  <c r="C192" i="10"/>
  <c r="L192" i="10" s="1"/>
  <c r="D189" i="11"/>
  <c r="J189" i="11" s="1"/>
  <c r="I192" i="10"/>
  <c r="Q192" i="10"/>
  <c r="B192" i="10" l="1"/>
  <c r="E201" i="10"/>
  <c r="E193" i="10"/>
  <c r="E198" i="10"/>
  <c r="E199" i="10"/>
  <c r="E196" i="10"/>
  <c r="E197" i="10"/>
  <c r="E202" i="10"/>
  <c r="E194" i="10"/>
  <c r="E203" i="10"/>
  <c r="E195" i="10"/>
  <c r="E200" i="10"/>
  <c r="E204" i="10"/>
  <c r="F189" i="11"/>
  <c r="H189" i="11" s="1"/>
  <c r="I189" i="11" s="1"/>
  <c r="D193" i="10"/>
  <c r="K193" i="10" s="1"/>
  <c r="K189" i="11"/>
  <c r="N204" i="10" l="1"/>
  <c r="C189" i="11"/>
  <c r="B189" i="11" s="1"/>
  <c r="D190" i="11" s="1"/>
  <c r="F190" i="11" s="1"/>
  <c r="H190" i="11" s="1"/>
  <c r="I190" i="11" s="1"/>
  <c r="F193" i="10"/>
  <c r="J193" i="10"/>
  <c r="K190" i="11" l="1"/>
  <c r="C190" i="11"/>
  <c r="B190" i="11" s="1"/>
  <c r="J190" i="11"/>
  <c r="H193" i="10"/>
  <c r="C193" i="10"/>
  <c r="I193" i="10" l="1"/>
  <c r="B193" i="10"/>
  <c r="D191" i="11"/>
  <c r="D194" i="10" l="1"/>
  <c r="J191" i="11"/>
  <c r="F191" i="11"/>
  <c r="H191" i="11" s="1"/>
  <c r="I191" i="11" s="1"/>
  <c r="K191" i="11"/>
  <c r="F194" i="10" l="1"/>
  <c r="C191" i="11"/>
  <c r="B191" i="11" s="1"/>
  <c r="J194" i="10"/>
  <c r="K194" i="10"/>
  <c r="H194" i="10" l="1"/>
  <c r="C194" i="10"/>
  <c r="D192" i="11"/>
  <c r="K192" i="11" s="1"/>
  <c r="F192" i="11" l="1"/>
  <c r="H192" i="11" s="1"/>
  <c r="I192" i="11" s="1"/>
  <c r="J192" i="11"/>
  <c r="B194" i="10"/>
  <c r="I194" i="10"/>
  <c r="C192" i="11" l="1"/>
  <c r="B192" i="11" s="1"/>
  <c r="D193" i="11" s="1"/>
  <c r="M193" i="11" s="1"/>
  <c r="D195" i="10"/>
  <c r="K195" i="10" s="1"/>
  <c r="F195" i="10" l="1"/>
  <c r="H195" i="10" s="1"/>
  <c r="J195" i="10"/>
  <c r="K193" i="11"/>
  <c r="S193" i="11" s="1"/>
  <c r="F193" i="11"/>
  <c r="J193" i="11"/>
  <c r="R193" i="11" s="1"/>
  <c r="C195" i="10" l="1"/>
  <c r="B195" i="10" s="1"/>
  <c r="H193" i="11"/>
  <c r="C193" i="11"/>
  <c r="O193" i="11"/>
  <c r="I195" i="10"/>
  <c r="D196" i="10" l="1"/>
  <c r="K196" i="10" s="1"/>
  <c r="I193" i="11"/>
  <c r="Q193" i="11"/>
  <c r="L193" i="11"/>
  <c r="B193" i="11"/>
  <c r="J196" i="10" l="1"/>
  <c r="F196" i="10"/>
  <c r="H196" i="10" s="1"/>
  <c r="K194" i="11"/>
  <c r="D194" i="11"/>
  <c r="J194" i="11" s="1"/>
  <c r="F194" i="11" l="1"/>
  <c r="H194" i="11" s="1"/>
  <c r="I194" i="11" s="1"/>
  <c r="C196" i="10"/>
  <c r="B196" i="10" s="1"/>
  <c r="I196" i="10"/>
  <c r="C194" i="11" l="1"/>
  <c r="B194" i="11" s="1"/>
  <c r="D197" i="10"/>
  <c r="F197" i="10" s="1"/>
  <c r="K197" i="10" l="1"/>
  <c r="J197" i="10"/>
  <c r="H197" i="10"/>
  <c r="C197" i="10"/>
  <c r="D195" i="11"/>
  <c r="F195" i="11" s="1"/>
  <c r="J195" i="11" l="1"/>
  <c r="K195" i="11"/>
  <c r="H195" i="11"/>
  <c r="C195" i="11"/>
  <c r="I197" i="10"/>
  <c r="B197" i="10"/>
  <c r="B195" i="11" l="1"/>
  <c r="D198" i="10"/>
  <c r="K198" i="10" s="1"/>
  <c r="I195" i="11"/>
  <c r="D196" i="11" l="1"/>
  <c r="F196" i="11" s="1"/>
  <c r="J198" i="10"/>
  <c r="F198" i="10"/>
  <c r="H198" i="10" s="1"/>
  <c r="I198" i="10" s="1"/>
  <c r="C198" i="10" l="1"/>
  <c r="B198" i="10" s="1"/>
  <c r="D199" i="10" s="1"/>
  <c r="J199" i="10" s="1"/>
  <c r="K196" i="11"/>
  <c r="H196" i="11"/>
  <c r="C196" i="11"/>
  <c r="J196" i="11"/>
  <c r="K199" i="10" l="1"/>
  <c r="F199" i="10"/>
  <c r="H199" i="10" s="1"/>
  <c r="I199" i="10" s="1"/>
  <c r="B196" i="11"/>
  <c r="I196" i="11"/>
  <c r="C199" i="10" l="1"/>
  <c r="B199" i="10" s="1"/>
  <c r="D200" i="10" s="1"/>
  <c r="K200" i="10" s="1"/>
  <c r="D197" i="11"/>
  <c r="F197" i="11" s="1"/>
  <c r="K197" i="11" l="1"/>
  <c r="J197" i="11"/>
  <c r="F200" i="10"/>
  <c r="H200" i="10" s="1"/>
  <c r="I200" i="10" s="1"/>
  <c r="H197" i="11"/>
  <c r="C197" i="11"/>
  <c r="J200" i="10"/>
  <c r="C200" i="10" l="1"/>
  <c r="B200" i="10" s="1"/>
  <c r="D201" i="10" s="1"/>
  <c r="B197" i="11"/>
  <c r="I197" i="11"/>
  <c r="J201" i="10" l="1"/>
  <c r="K201" i="10"/>
  <c r="D198" i="11"/>
  <c r="J198" i="11" s="1"/>
  <c r="F201" i="10"/>
  <c r="H201" i="10" s="1"/>
  <c r="I201" i="10" s="1"/>
  <c r="K198" i="11" l="1"/>
  <c r="F198" i="11"/>
  <c r="C201" i="10"/>
  <c r="B201" i="10" s="1"/>
  <c r="D202" i="10" l="1"/>
  <c r="H198" i="11"/>
  <c r="I198" i="11" s="1"/>
  <c r="C198" i="11"/>
  <c r="F202" i="10" l="1"/>
  <c r="H202" i="10" s="1"/>
  <c r="I202" i="10" s="1"/>
  <c r="B198" i="11"/>
  <c r="J202" i="10"/>
  <c r="K202" i="10"/>
  <c r="D199" i="11" l="1"/>
  <c r="C202" i="10"/>
  <c r="B202" i="10" s="1"/>
  <c r="F199" i="11" l="1"/>
  <c r="H199" i="11" s="1"/>
  <c r="I199" i="11" s="1"/>
  <c r="K199" i="11"/>
  <c r="D203" i="10"/>
  <c r="F203" i="10" s="1"/>
  <c r="H203" i="10" s="1"/>
  <c r="I203" i="10" s="1"/>
  <c r="J199" i="11"/>
  <c r="K203" i="10" l="1"/>
  <c r="C203" i="10"/>
  <c r="B203" i="10" s="1"/>
  <c r="J203" i="10"/>
  <c r="C199" i="11"/>
  <c r="B199" i="11" s="1"/>
  <c r="D204" i="10" l="1"/>
  <c r="M204" i="10" s="1"/>
  <c r="D200" i="11"/>
  <c r="F200" i="11" s="1"/>
  <c r="H200" i="11" s="1"/>
  <c r="I200" i="11" s="1"/>
  <c r="K200" i="11" l="1"/>
  <c r="J200" i="11"/>
  <c r="K204" i="10"/>
  <c r="S204" i="10" s="1"/>
  <c r="F204" i="10"/>
  <c r="C200" i="11"/>
  <c r="B200" i="11" s="1"/>
  <c r="J204" i="10"/>
  <c r="R204" i="10" s="1"/>
  <c r="D201" i="11" l="1"/>
  <c r="H204" i="10"/>
  <c r="C204" i="10"/>
  <c r="O204" i="10"/>
  <c r="J201" i="11" l="1"/>
  <c r="L204" i="10"/>
  <c r="B204" i="10"/>
  <c r="K201" i="11"/>
  <c r="I204" i="10"/>
  <c r="Q204" i="10"/>
  <c r="F201" i="11"/>
  <c r="H201" i="11" s="1"/>
  <c r="I201" i="11" s="1"/>
  <c r="E209" i="10" l="1"/>
  <c r="E214" i="10"/>
  <c r="E206" i="10"/>
  <c r="E211" i="10"/>
  <c r="E215" i="10"/>
  <c r="E207" i="10"/>
  <c r="E212" i="10"/>
  <c r="E213" i="10"/>
  <c r="E205" i="10"/>
  <c r="E210" i="10"/>
  <c r="E216" i="10"/>
  <c r="E208" i="10"/>
  <c r="D205" i="10"/>
  <c r="C201" i="11"/>
  <c r="B201" i="11" s="1"/>
  <c r="N216" i="10" l="1"/>
  <c r="K205" i="10"/>
  <c r="J205" i="10"/>
  <c r="D202" i="11"/>
  <c r="J202" i="11" s="1"/>
  <c r="F205" i="10"/>
  <c r="H205" i="10" l="1"/>
  <c r="C205" i="10"/>
  <c r="K202" i="11"/>
  <c r="F202" i="11"/>
  <c r="H202" i="11" s="1"/>
  <c r="I202" i="11" s="1"/>
  <c r="B205" i="10" l="1"/>
  <c r="I205" i="10"/>
  <c r="C202" i="11"/>
  <c r="B202" i="11" s="1"/>
  <c r="D206" i="10" l="1"/>
  <c r="D203" i="11"/>
  <c r="J203" i="11" s="1"/>
  <c r="K203" i="11" l="1"/>
  <c r="F203" i="11"/>
  <c r="H203" i="11" s="1"/>
  <c r="I203" i="11" s="1"/>
  <c r="J206" i="10"/>
  <c r="F206" i="10"/>
  <c r="K206" i="10"/>
  <c r="C203" i="11" l="1"/>
  <c r="B203" i="11" s="1"/>
  <c r="D204" i="11" s="1"/>
  <c r="H206" i="10"/>
  <c r="C206" i="10"/>
  <c r="J204" i="11" l="1"/>
  <c r="K204" i="11"/>
  <c r="B206" i="10"/>
  <c r="I206" i="10"/>
  <c r="F204" i="11"/>
  <c r="H204" i="11" s="1"/>
  <c r="I204" i="11" s="1"/>
  <c r="D207" i="10" l="1"/>
  <c r="C204" i="11"/>
  <c r="B204" i="11" s="1"/>
  <c r="K207" i="10" l="1"/>
  <c r="D205" i="11"/>
  <c r="M205" i="11" s="1"/>
  <c r="F207" i="10"/>
  <c r="J207" i="10"/>
  <c r="J205" i="11" l="1"/>
  <c r="R205" i="11" s="1"/>
  <c r="H207" i="10"/>
  <c r="C207" i="10"/>
  <c r="F205" i="11"/>
  <c r="K205" i="11"/>
  <c r="S205" i="11" s="1"/>
  <c r="B207" i="10" l="1"/>
  <c r="I207" i="10"/>
  <c r="H205" i="11"/>
  <c r="C205" i="11"/>
  <c r="O205" i="11"/>
  <c r="L205" i="11" l="1"/>
  <c r="B205" i="11"/>
  <c r="K208" i="10"/>
  <c r="J208" i="10"/>
  <c r="D208" i="10"/>
  <c r="F208" i="10" s="1"/>
  <c r="I205" i="11"/>
  <c r="Q205" i="11"/>
  <c r="H208" i="10" l="1"/>
  <c r="C208" i="10"/>
  <c r="D206" i="11"/>
  <c r="F206" i="11" s="1"/>
  <c r="H206" i="11" l="1"/>
  <c r="I206" i="11" s="1"/>
  <c r="C206" i="11"/>
  <c r="K206" i="11"/>
  <c r="B208" i="10"/>
  <c r="J206" i="11"/>
  <c r="I208" i="10"/>
  <c r="D209" i="10" l="1"/>
  <c r="F209" i="10" s="1"/>
  <c r="B206" i="11"/>
  <c r="H209" i="10" l="1"/>
  <c r="C209" i="10"/>
  <c r="J209" i="10"/>
  <c r="K209" i="10"/>
  <c r="D207" i="11"/>
  <c r="F207" i="11" s="1"/>
  <c r="K207" i="11" l="1"/>
  <c r="J207" i="11"/>
  <c r="H207" i="11"/>
  <c r="C207" i="11"/>
  <c r="B209" i="10"/>
  <c r="I209" i="10"/>
  <c r="D210" i="10" l="1"/>
  <c r="B207" i="11"/>
  <c r="I207" i="11"/>
  <c r="F210" i="10" l="1"/>
  <c r="H210" i="10" s="1"/>
  <c r="I210" i="10" s="1"/>
  <c r="D208" i="11"/>
  <c r="J208" i="11" s="1"/>
  <c r="J210" i="10"/>
  <c r="K210" i="10"/>
  <c r="F208" i="11" l="1"/>
  <c r="K208" i="11"/>
  <c r="C210" i="10"/>
  <c r="B210" i="10" s="1"/>
  <c r="H208" i="11" l="1"/>
  <c r="C208" i="11"/>
  <c r="D211" i="10"/>
  <c r="F211" i="10" s="1"/>
  <c r="H211" i="10" s="1"/>
  <c r="I211" i="10" s="1"/>
  <c r="B208" i="11" l="1"/>
  <c r="C211" i="10"/>
  <c r="B211" i="10" s="1"/>
  <c r="J211" i="10"/>
  <c r="I208" i="11"/>
  <c r="K211" i="10"/>
  <c r="D212" i="10" l="1"/>
  <c r="F212" i="10" s="1"/>
  <c r="H212" i="10" s="1"/>
  <c r="I212" i="10" s="1"/>
  <c r="D209" i="11"/>
  <c r="J209" i="11" s="1"/>
  <c r="K209" i="11" l="1"/>
  <c r="K212" i="10"/>
  <c r="C212" i="10"/>
  <c r="B212" i="10" s="1"/>
  <c r="F209" i="11"/>
  <c r="J212" i="10"/>
  <c r="H209" i="11" l="1"/>
  <c r="C209" i="11"/>
  <c r="D213" i="10"/>
  <c r="J213" i="10" s="1"/>
  <c r="B209" i="11" l="1"/>
  <c r="K213" i="10"/>
  <c r="F213" i="10"/>
  <c r="H213" i="10" s="1"/>
  <c r="I213" i="10" s="1"/>
  <c r="I209" i="11"/>
  <c r="D210" i="11" l="1"/>
  <c r="J210" i="11" s="1"/>
  <c r="C213" i="10"/>
  <c r="B213" i="10" s="1"/>
  <c r="D214" i="10" l="1"/>
  <c r="F214" i="10" s="1"/>
  <c r="H214" i="10" s="1"/>
  <c r="I214" i="10" s="1"/>
  <c r="K210" i="11"/>
  <c r="F210" i="11"/>
  <c r="C214" i="10" l="1"/>
  <c r="B214" i="10" s="1"/>
  <c r="H210" i="11"/>
  <c r="I210" i="11" s="1"/>
  <c r="C210" i="11"/>
  <c r="J214" i="10"/>
  <c r="K214" i="10"/>
  <c r="B210" i="11" l="1"/>
  <c r="D215" i="10"/>
  <c r="J215" i="10" s="1"/>
  <c r="F215" i="10" l="1"/>
  <c r="H215" i="10" s="1"/>
  <c r="I215" i="10" s="1"/>
  <c r="D211" i="11"/>
  <c r="K211" i="11" s="1"/>
  <c r="K215" i="10"/>
  <c r="J211" i="11" l="1"/>
  <c r="F211" i="11"/>
  <c r="H211" i="11" s="1"/>
  <c r="I211" i="11" s="1"/>
  <c r="C215" i="10"/>
  <c r="B215" i="10" s="1"/>
  <c r="D216" i="10" s="1"/>
  <c r="M216" i="10" s="1"/>
  <c r="C211" i="11" l="1"/>
  <c r="B211" i="11" s="1"/>
  <c r="D212" i="11" s="1"/>
  <c r="F212" i="11" s="1"/>
  <c r="H212" i="11" s="1"/>
  <c r="I212" i="11" s="1"/>
  <c r="J216" i="10"/>
  <c r="R216" i="10" s="1"/>
  <c r="K216" i="10"/>
  <c r="S216" i="10" s="1"/>
  <c r="F216" i="10"/>
  <c r="C216" i="10" s="1"/>
  <c r="H216" i="10" l="1"/>
  <c r="I216" i="10" s="1"/>
  <c r="O216" i="10"/>
  <c r="C212" i="11"/>
  <c r="B212" i="11" s="1"/>
  <c r="L216" i="10"/>
  <c r="B216" i="10"/>
  <c r="J212" i="11"/>
  <c r="K212" i="11"/>
  <c r="Q216" i="10" l="1"/>
  <c r="E225" i="10"/>
  <c r="E217" i="10"/>
  <c r="E222" i="10"/>
  <c r="E218" i="10"/>
  <c r="E219" i="10"/>
  <c r="E223" i="10"/>
  <c r="E228" i="10"/>
  <c r="E220" i="10"/>
  <c r="E226" i="10"/>
  <c r="E224" i="10"/>
  <c r="E221" i="10"/>
  <c r="E227" i="10"/>
  <c r="D217" i="10"/>
  <c r="D213" i="11"/>
  <c r="F213" i="11" s="1"/>
  <c r="H213" i="11" s="1"/>
  <c r="I213" i="11" s="1"/>
  <c r="N228" i="10" l="1"/>
  <c r="K213" i="11"/>
  <c r="J213" i="11"/>
  <c r="F217" i="10"/>
  <c r="K217" i="10"/>
  <c r="C213" i="11"/>
  <c r="B213" i="11" s="1"/>
  <c r="J217" i="10"/>
  <c r="D214" i="11" l="1"/>
  <c r="H217" i="10"/>
  <c r="C217" i="10"/>
  <c r="F214" i="11" l="1"/>
  <c r="H214" i="11" s="1"/>
  <c r="I214" i="11" s="1"/>
  <c r="K214" i="11"/>
  <c r="B217" i="10"/>
  <c r="I217" i="10"/>
  <c r="J214" i="11"/>
  <c r="D218" i="10" l="1"/>
  <c r="C214" i="11"/>
  <c r="B214" i="11" s="1"/>
  <c r="D215" i="11" l="1"/>
  <c r="K215" i="11" s="1"/>
  <c r="F218" i="10"/>
  <c r="J218" i="10"/>
  <c r="K218" i="10"/>
  <c r="J215" i="11" l="1"/>
  <c r="F215" i="11"/>
  <c r="H215" i="11" s="1"/>
  <c r="I215" i="11" s="1"/>
  <c r="H218" i="10"/>
  <c r="C218" i="10"/>
  <c r="C215" i="11" l="1"/>
  <c r="B215" i="11" s="1"/>
  <c r="D216" i="11" s="1"/>
  <c r="B218" i="10"/>
  <c r="I218" i="10"/>
  <c r="K216" i="11" l="1"/>
  <c r="D219" i="10"/>
  <c r="F219" i="10" s="1"/>
  <c r="J216" i="11"/>
  <c r="F216" i="11"/>
  <c r="H216" i="11" s="1"/>
  <c r="I216" i="11" s="1"/>
  <c r="J219" i="10" l="1"/>
  <c r="H219" i="10"/>
  <c r="C219" i="10"/>
  <c r="K219" i="10"/>
  <c r="C216" i="11"/>
  <c r="B216" i="11" s="1"/>
  <c r="D217" i="11" l="1"/>
  <c r="M217" i="11" s="1"/>
  <c r="B219" i="10"/>
  <c r="I219" i="10"/>
  <c r="D220" i="10" l="1"/>
  <c r="J220" i="10" s="1"/>
  <c r="J217" i="11"/>
  <c r="R217" i="11" s="1"/>
  <c r="F217" i="11"/>
  <c r="K217" i="11"/>
  <c r="S217" i="11" s="1"/>
  <c r="H217" i="11" l="1"/>
  <c r="C217" i="11"/>
  <c r="O217" i="11"/>
  <c r="K220" i="10"/>
  <c r="F220" i="10"/>
  <c r="L217" i="11" l="1"/>
  <c r="B217" i="11"/>
  <c r="H220" i="10"/>
  <c r="C220" i="10"/>
  <c r="I217" i="11"/>
  <c r="Q217" i="11"/>
  <c r="B220" i="10" l="1"/>
  <c r="I220" i="10"/>
  <c r="D218" i="11"/>
  <c r="F218" i="11" l="1"/>
  <c r="D221" i="10"/>
  <c r="F221" i="10" s="1"/>
  <c r="K218" i="11"/>
  <c r="J218" i="11"/>
  <c r="K221" i="10" l="1"/>
  <c r="J221" i="10"/>
  <c r="H221" i="10"/>
  <c r="C221" i="10"/>
  <c r="H218" i="11"/>
  <c r="I218" i="11" s="1"/>
  <c r="C218" i="11"/>
  <c r="B218" i="11" l="1"/>
  <c r="B221" i="10"/>
  <c r="I221" i="10"/>
  <c r="D219" i="11" l="1"/>
  <c r="D222" i="10"/>
  <c r="K222" i="10" s="1"/>
  <c r="F222" i="10" l="1"/>
  <c r="H222" i="10" s="1"/>
  <c r="I222" i="10" s="1"/>
  <c r="J222" i="10"/>
  <c r="K219" i="11"/>
  <c r="J219" i="11"/>
  <c r="F219" i="11"/>
  <c r="C222" i="10" l="1"/>
  <c r="B222" i="10" s="1"/>
  <c r="D223" i="10" s="1"/>
  <c r="F223" i="10" s="1"/>
  <c r="H223" i="10" s="1"/>
  <c r="I223" i="10" s="1"/>
  <c r="H219" i="11"/>
  <c r="C219" i="11"/>
  <c r="B219" i="11" l="1"/>
  <c r="K223" i="10"/>
  <c r="C223" i="10"/>
  <c r="B223" i="10" s="1"/>
  <c r="I219" i="11"/>
  <c r="J223" i="10"/>
  <c r="D224" i="10" l="1"/>
  <c r="D220" i="11"/>
  <c r="F224" i="10" l="1"/>
  <c r="H224" i="10" s="1"/>
  <c r="I224" i="10" s="1"/>
  <c r="J224" i="10"/>
  <c r="J220" i="11"/>
  <c r="K220" i="11"/>
  <c r="F220" i="11"/>
  <c r="K224" i="10"/>
  <c r="H220" i="11" l="1"/>
  <c r="C220" i="11"/>
  <c r="C224" i="10"/>
  <c r="B224" i="10" s="1"/>
  <c r="D225" i="10" l="1"/>
  <c r="B220" i="11"/>
  <c r="I220" i="11"/>
  <c r="J225" i="10" l="1"/>
  <c r="D221" i="11"/>
  <c r="K221" i="11" s="1"/>
  <c r="K225" i="10"/>
  <c r="F225" i="10"/>
  <c r="H225" i="10" s="1"/>
  <c r="I225" i="10" s="1"/>
  <c r="F221" i="11" l="1"/>
  <c r="H221" i="11" s="1"/>
  <c r="J221" i="11"/>
  <c r="C225" i="10"/>
  <c r="B225" i="10" s="1"/>
  <c r="C221" i="11" l="1"/>
  <c r="B221" i="11" s="1"/>
  <c r="D226" i="10"/>
  <c r="I221" i="11"/>
  <c r="F226" i="10" l="1"/>
  <c r="H226" i="10" s="1"/>
  <c r="I226" i="10" s="1"/>
  <c r="D222" i="11"/>
  <c r="K222" i="11" s="1"/>
  <c r="J226" i="10"/>
  <c r="K226" i="10"/>
  <c r="F222" i="11" l="1"/>
  <c r="H222" i="11" s="1"/>
  <c r="I222" i="11" s="1"/>
  <c r="J222" i="11"/>
  <c r="C226" i="10"/>
  <c r="B226" i="10" s="1"/>
  <c r="C222" i="11" l="1"/>
  <c r="B222" i="11" s="1"/>
  <c r="D227" i="10"/>
  <c r="J227" i="10" l="1"/>
  <c r="D223" i="11"/>
  <c r="J223" i="11" s="1"/>
  <c r="F227" i="10"/>
  <c r="H227" i="10" s="1"/>
  <c r="I227" i="10" s="1"/>
  <c r="K227" i="10"/>
  <c r="F223" i="11" l="1"/>
  <c r="H223" i="11" s="1"/>
  <c r="I223" i="11" s="1"/>
  <c r="K223" i="11"/>
  <c r="C227" i="10"/>
  <c r="B227" i="10" s="1"/>
  <c r="C223" i="11" l="1"/>
  <c r="B223" i="11" s="1"/>
  <c r="D224" i="11" s="1"/>
  <c r="F224" i="11" s="1"/>
  <c r="H224" i="11" s="1"/>
  <c r="I224" i="11" s="1"/>
  <c r="D228" i="10"/>
  <c r="M228" i="10" s="1"/>
  <c r="K224" i="11" l="1"/>
  <c r="J224" i="11"/>
  <c r="K228" i="10"/>
  <c r="S228" i="10" s="1"/>
  <c r="F228" i="10"/>
  <c r="C224" i="11"/>
  <c r="B224" i="11" s="1"/>
  <c r="J228" i="10"/>
  <c r="R228" i="10" s="1"/>
  <c r="D225" i="11" l="1"/>
  <c r="J225" i="11" s="1"/>
  <c r="H228" i="10"/>
  <c r="C228" i="10"/>
  <c r="O228" i="10"/>
  <c r="L228" i="10" l="1"/>
  <c r="B228" i="10"/>
  <c r="F225" i="11"/>
  <c r="H225" i="11" s="1"/>
  <c r="I225" i="11" s="1"/>
  <c r="I228" i="10"/>
  <c r="Q228" i="10"/>
  <c r="K225" i="11"/>
  <c r="E237" i="10" l="1"/>
  <c r="E229" i="10"/>
  <c r="E232" i="10"/>
  <c r="E235" i="10"/>
  <c r="E238" i="10"/>
  <c r="E233" i="10"/>
  <c r="E240" i="10"/>
  <c r="E230" i="10"/>
  <c r="E236" i="10"/>
  <c r="E231" i="10"/>
  <c r="E239" i="10"/>
  <c r="E234" i="10"/>
  <c r="C225" i="11"/>
  <c r="B225" i="11" s="1"/>
  <c r="D229" i="10"/>
  <c r="F229" i="10" s="1"/>
  <c r="N240" i="10" l="1"/>
  <c r="K229" i="10"/>
  <c r="J229" i="10"/>
  <c r="H229" i="10"/>
  <c r="C229" i="10"/>
  <c r="D226" i="11"/>
  <c r="F226" i="11" s="1"/>
  <c r="H226" i="11" s="1"/>
  <c r="I226" i="11" s="1"/>
  <c r="K226" i="11" l="1"/>
  <c r="I229" i="10"/>
  <c r="C226" i="11"/>
  <c r="B226" i="11" s="1"/>
  <c r="J226" i="11"/>
  <c r="B229" i="10"/>
  <c r="D227" i="11" l="1"/>
  <c r="D230" i="10"/>
  <c r="F230" i="10" s="1"/>
  <c r="H230" i="10" l="1"/>
  <c r="C230" i="10"/>
  <c r="J230" i="10"/>
  <c r="K227" i="11"/>
  <c r="J227" i="11"/>
  <c r="K230" i="10"/>
  <c r="F227" i="11"/>
  <c r="H227" i="11" s="1"/>
  <c r="I227" i="11" s="1"/>
  <c r="C227" i="11" l="1"/>
  <c r="B227" i="11" s="1"/>
  <c r="B230" i="10"/>
  <c r="I230" i="10"/>
  <c r="D231" i="10" l="1"/>
  <c r="D228" i="11"/>
  <c r="F228" i="11" s="1"/>
  <c r="H228" i="11" s="1"/>
  <c r="I228" i="11" s="1"/>
  <c r="J228" i="11" l="1"/>
  <c r="K228" i="11"/>
  <c r="K231" i="10"/>
  <c r="F231" i="10"/>
  <c r="C228" i="11"/>
  <c r="B228" i="11" s="1"/>
  <c r="J231" i="10"/>
  <c r="H231" i="10" l="1"/>
  <c r="C231" i="10"/>
  <c r="D229" i="11"/>
  <c r="M229" i="11" s="1"/>
  <c r="J229" i="11" l="1"/>
  <c r="R229" i="11" s="1"/>
  <c r="F229" i="11"/>
  <c r="H229" i="11" s="1"/>
  <c r="K229" i="11"/>
  <c r="S229" i="11" s="1"/>
  <c r="B231" i="10"/>
  <c r="I231" i="10"/>
  <c r="O229" i="11" l="1"/>
  <c r="C229" i="11"/>
  <c r="L229" i="11" s="1"/>
  <c r="D232" i="10"/>
  <c r="F232" i="10" s="1"/>
  <c r="I229" i="11"/>
  <c r="Q229" i="11"/>
  <c r="B229" i="11" l="1"/>
  <c r="D230" i="11" s="1"/>
  <c r="J230" i="11" s="1"/>
  <c r="J232" i="10"/>
  <c r="H232" i="10"/>
  <c r="C232" i="10"/>
  <c r="K232" i="10"/>
  <c r="K230" i="11" l="1"/>
  <c r="F230" i="11"/>
  <c r="H230" i="11" s="1"/>
  <c r="I230" i="11" s="1"/>
  <c r="B232" i="10"/>
  <c r="I232" i="10"/>
  <c r="C230" i="11" l="1"/>
  <c r="B230" i="11" s="1"/>
  <c r="D233" i="10"/>
  <c r="J233" i="10" s="1"/>
  <c r="D231" i="11" l="1"/>
  <c r="K233" i="10"/>
  <c r="F233" i="10"/>
  <c r="H233" i="10" l="1"/>
  <c r="C233" i="10"/>
  <c r="K231" i="11"/>
  <c r="J231" i="11"/>
  <c r="F231" i="11"/>
  <c r="H231" i="11" l="1"/>
  <c r="C231" i="11"/>
  <c r="B233" i="10"/>
  <c r="I233" i="10"/>
  <c r="B231" i="11" l="1"/>
  <c r="D234" i="10"/>
  <c r="J234" i="10" s="1"/>
  <c r="I231" i="11"/>
  <c r="K234" i="10" l="1"/>
  <c r="D232" i="11"/>
  <c r="F232" i="11" s="1"/>
  <c r="F234" i="10"/>
  <c r="H234" i="10" s="1"/>
  <c r="I234" i="10" s="1"/>
  <c r="K232" i="11" l="1"/>
  <c r="J232" i="11"/>
  <c r="H232" i="11"/>
  <c r="C232" i="11"/>
  <c r="C234" i="10"/>
  <c r="B234" i="10" s="1"/>
  <c r="B232" i="11" l="1"/>
  <c r="I232" i="11"/>
  <c r="D235" i="10"/>
  <c r="J235" i="10" l="1"/>
  <c r="D233" i="11"/>
  <c r="J233" i="11" s="1"/>
  <c r="F235" i="10"/>
  <c r="H235" i="10" s="1"/>
  <c r="I235" i="10" s="1"/>
  <c r="K235" i="10"/>
  <c r="F233" i="11" l="1"/>
  <c r="H233" i="11" s="1"/>
  <c r="K233" i="11"/>
  <c r="C235" i="10"/>
  <c r="B235" i="10" s="1"/>
  <c r="C233" i="11" l="1"/>
  <c r="B233" i="11" s="1"/>
  <c r="D236" i="10"/>
  <c r="F236" i="10" s="1"/>
  <c r="H236" i="10" s="1"/>
  <c r="I236" i="10" s="1"/>
  <c r="I233" i="11"/>
  <c r="K236" i="10" l="1"/>
  <c r="C236" i="10"/>
  <c r="B236" i="10" s="1"/>
  <c r="F234" i="11"/>
  <c r="J234" i="11"/>
  <c r="D234" i="11"/>
  <c r="K234" i="11" s="1"/>
  <c r="J236" i="10"/>
  <c r="H234" i="11" l="1"/>
  <c r="I234" i="11" s="1"/>
  <c r="C234" i="11"/>
  <c r="D237" i="10"/>
  <c r="J237" i="10" s="1"/>
  <c r="K237" i="10" l="1"/>
  <c r="B234" i="11"/>
  <c r="F237" i="10"/>
  <c r="H237" i="10" s="1"/>
  <c r="I237" i="10" s="1"/>
  <c r="D235" i="11" l="1"/>
  <c r="J235" i="11" s="1"/>
  <c r="C237" i="10"/>
  <c r="B237" i="10" s="1"/>
  <c r="K235" i="11" l="1"/>
  <c r="D238" i="10"/>
  <c r="F238" i="10" s="1"/>
  <c r="H238" i="10" s="1"/>
  <c r="I238" i="10" s="1"/>
  <c r="F235" i="11"/>
  <c r="H235" i="11" s="1"/>
  <c r="I235" i="11" s="1"/>
  <c r="J238" i="10" l="1"/>
  <c r="C238" i="10"/>
  <c r="B238" i="10" s="1"/>
  <c r="C235" i="11"/>
  <c r="B235" i="11" s="1"/>
  <c r="K238" i="10"/>
  <c r="D236" i="11" l="1"/>
  <c r="D239" i="10"/>
  <c r="F239" i="10" s="1"/>
  <c r="H239" i="10" s="1"/>
  <c r="I239" i="10" s="1"/>
  <c r="F236" i="11" l="1"/>
  <c r="H236" i="11" s="1"/>
  <c r="I236" i="11" s="1"/>
  <c r="K239" i="10"/>
  <c r="K236" i="11"/>
  <c r="C239" i="10"/>
  <c r="B239" i="10" s="1"/>
  <c r="J239" i="10"/>
  <c r="J236" i="11"/>
  <c r="D240" i="10" l="1"/>
  <c r="M240" i="10" s="1"/>
  <c r="C236" i="11"/>
  <c r="B236" i="11" s="1"/>
  <c r="K240" i="10" l="1"/>
  <c r="S240" i="10" s="1"/>
  <c r="F240" i="10"/>
  <c r="D237" i="11"/>
  <c r="F237" i="11" s="1"/>
  <c r="H237" i="11" s="1"/>
  <c r="I237" i="11" s="1"/>
  <c r="J240" i="10"/>
  <c r="R240" i="10" s="1"/>
  <c r="J237" i="11" l="1"/>
  <c r="C237" i="11"/>
  <c r="B237" i="11" s="1"/>
  <c r="H240" i="10"/>
  <c r="C240" i="10"/>
  <c r="O240" i="10"/>
  <c r="K237" i="11"/>
  <c r="L240" i="10" l="1"/>
  <c r="B240" i="10"/>
  <c r="I240" i="10"/>
  <c r="Q240" i="10"/>
  <c r="D238" i="11"/>
  <c r="E250" i="10" l="1"/>
  <c r="E245" i="10"/>
  <c r="E241" i="10"/>
  <c r="E246" i="10"/>
  <c r="E251" i="10"/>
  <c r="E248" i="10"/>
  <c r="E243" i="10"/>
  <c r="E249" i="10"/>
  <c r="E247" i="10"/>
  <c r="E244" i="10"/>
  <c r="E252" i="10"/>
  <c r="E242" i="10"/>
  <c r="K238" i="11"/>
  <c r="D241" i="10"/>
  <c r="K241" i="10" s="1"/>
  <c r="F238" i="11"/>
  <c r="H238" i="11" s="1"/>
  <c r="I238" i="11" s="1"/>
  <c r="J238" i="11"/>
  <c r="N252" i="10" l="1"/>
  <c r="J241" i="10"/>
  <c r="F241" i="10"/>
  <c r="C238" i="11"/>
  <c r="B238" i="11" s="1"/>
  <c r="H241" i="10" l="1"/>
  <c r="C241" i="10"/>
  <c r="D239" i="11"/>
  <c r="F239" i="11" s="1"/>
  <c r="H239" i="11" s="1"/>
  <c r="I239" i="11" s="1"/>
  <c r="B241" i="10" l="1"/>
  <c r="C239" i="11"/>
  <c r="B239" i="11" s="1"/>
  <c r="K239" i="11"/>
  <c r="I241" i="10"/>
  <c r="J239" i="11"/>
  <c r="D240" i="11" l="1"/>
  <c r="D242" i="10"/>
  <c r="K240" i="11" l="1"/>
  <c r="K242" i="10"/>
  <c r="J240" i="11"/>
  <c r="J242" i="10"/>
  <c r="F242" i="10"/>
  <c r="F240" i="11"/>
  <c r="H240" i="11" s="1"/>
  <c r="I240" i="11" s="1"/>
  <c r="H242" i="10" l="1"/>
  <c r="C242" i="10"/>
  <c r="C240" i="11"/>
  <c r="B240" i="11" s="1"/>
  <c r="B242" i="10" l="1"/>
  <c r="D241" i="11"/>
  <c r="M241" i="11" s="1"/>
  <c r="I242" i="10"/>
  <c r="F241" i="11" l="1"/>
  <c r="H241" i="11" s="1"/>
  <c r="K241" i="11"/>
  <c r="S241" i="11" s="1"/>
  <c r="D243" i="10"/>
  <c r="J241" i="11"/>
  <c r="R241" i="11" s="1"/>
  <c r="O241" i="11" l="1"/>
  <c r="C241" i="11"/>
  <c r="L241" i="11" s="1"/>
  <c r="K243" i="10"/>
  <c r="J243" i="10"/>
  <c r="F243" i="10"/>
  <c r="I241" i="11"/>
  <c r="Q241" i="11"/>
  <c r="B241" i="11" l="1"/>
  <c r="D242" i="11" s="1"/>
  <c r="J242" i="11" s="1"/>
  <c r="H243" i="10"/>
  <c r="C243" i="10"/>
  <c r="K242" i="11" l="1"/>
  <c r="F242" i="11"/>
  <c r="C242" i="11" s="1"/>
  <c r="B243" i="10"/>
  <c r="I243" i="10"/>
  <c r="H242" i="11" l="1"/>
  <c r="I242" i="11" s="1"/>
  <c r="B242" i="11"/>
  <c r="D244" i="10"/>
  <c r="F244" i="10" s="1"/>
  <c r="J244" i="10" l="1"/>
  <c r="K244" i="10"/>
  <c r="H244" i="10"/>
  <c r="C244" i="10"/>
  <c r="D243" i="11"/>
  <c r="F243" i="11" s="1"/>
  <c r="H243" i="11" l="1"/>
  <c r="C243" i="11"/>
  <c r="K243" i="11"/>
  <c r="B244" i="10"/>
  <c r="J243" i="11"/>
  <c r="I244" i="10"/>
  <c r="D245" i="10" l="1"/>
  <c r="F245" i="10" s="1"/>
  <c r="B243" i="11"/>
  <c r="I243" i="11"/>
  <c r="K245" i="10" l="1"/>
  <c r="J245" i="10"/>
  <c r="D244" i="11"/>
  <c r="H245" i="10"/>
  <c r="C245" i="10"/>
  <c r="B245" i="10" l="1"/>
  <c r="I245" i="10"/>
  <c r="J244" i="11"/>
  <c r="F244" i="11"/>
  <c r="K244" i="11"/>
  <c r="H244" i="11" l="1"/>
  <c r="C244" i="11"/>
  <c r="D246" i="10"/>
  <c r="J246" i="10" s="1"/>
  <c r="K246" i="10" l="1"/>
  <c r="B244" i="11"/>
  <c r="F246" i="10"/>
  <c r="H246" i="10" s="1"/>
  <c r="I246" i="10" s="1"/>
  <c r="I244" i="11"/>
  <c r="D245" i="11" l="1"/>
  <c r="F245" i="11" s="1"/>
  <c r="C246" i="10"/>
  <c r="B246" i="10" s="1"/>
  <c r="H245" i="11" l="1"/>
  <c r="C245" i="11"/>
  <c r="J245" i="11"/>
  <c r="K245" i="11"/>
  <c r="D247" i="10"/>
  <c r="F247" i="10" s="1"/>
  <c r="H247" i="10" s="1"/>
  <c r="I247" i="10" s="1"/>
  <c r="J247" i="10" l="1"/>
  <c r="K247" i="10"/>
  <c r="B245" i="11"/>
  <c r="C247" i="10"/>
  <c r="B247" i="10" s="1"/>
  <c r="I245" i="11"/>
  <c r="D248" i="10" l="1"/>
  <c r="D246" i="11"/>
  <c r="K246" i="11" s="1"/>
  <c r="K248" i="10" l="1"/>
  <c r="F248" i="10"/>
  <c r="H248" i="10" s="1"/>
  <c r="I248" i="10" s="1"/>
  <c r="J246" i="11"/>
  <c r="F246" i="11"/>
  <c r="J248" i="10"/>
  <c r="H246" i="11" l="1"/>
  <c r="I246" i="11" s="1"/>
  <c r="C246" i="11"/>
  <c r="C248" i="10"/>
  <c r="B248" i="10" s="1"/>
  <c r="D249" i="10" l="1"/>
  <c r="F249" i="10" s="1"/>
  <c r="H249" i="10" s="1"/>
  <c r="I249" i="10" s="1"/>
  <c r="B246" i="11"/>
  <c r="C249" i="10" l="1"/>
  <c r="B249" i="10" s="1"/>
  <c r="D247" i="11"/>
  <c r="F247" i="11" s="1"/>
  <c r="H247" i="11" s="1"/>
  <c r="I247" i="11" s="1"/>
  <c r="J249" i="10"/>
  <c r="K249" i="10"/>
  <c r="K247" i="11" l="1"/>
  <c r="J247" i="11"/>
  <c r="C247" i="11"/>
  <c r="B247" i="11" s="1"/>
  <c r="D250" i="10"/>
  <c r="K250" i="10" s="1"/>
  <c r="F250" i="10" l="1"/>
  <c r="H250" i="10" s="1"/>
  <c r="I250" i="10" s="1"/>
  <c r="J250" i="10"/>
  <c r="D248" i="11"/>
  <c r="F248" i="11" s="1"/>
  <c r="H248" i="11" s="1"/>
  <c r="I248" i="11" s="1"/>
  <c r="C250" i="10" l="1"/>
  <c r="B250" i="10" s="1"/>
  <c r="K248" i="11"/>
  <c r="J248" i="11"/>
  <c r="C248" i="11"/>
  <c r="B248" i="11" s="1"/>
  <c r="D251" i="10"/>
  <c r="K251" i="10" s="1"/>
  <c r="J251" i="10" l="1"/>
  <c r="F251" i="10"/>
  <c r="H251" i="10" s="1"/>
  <c r="I251" i="10" s="1"/>
  <c r="D249" i="11"/>
  <c r="K249" i="11" s="1"/>
  <c r="C251" i="10" l="1"/>
  <c r="B251" i="10" s="1"/>
  <c r="D252" i="10" s="1"/>
  <c r="M252" i="10" s="1"/>
  <c r="J249" i="11"/>
  <c r="F249" i="11"/>
  <c r="H249" i="11" s="1"/>
  <c r="I249" i="11" s="1"/>
  <c r="C249" i="11" l="1"/>
  <c r="B249" i="11" s="1"/>
  <c r="D250" i="11" s="1"/>
  <c r="F252" i="10"/>
  <c r="H252" i="10" s="1"/>
  <c r="J252" i="10"/>
  <c r="R252" i="10" s="1"/>
  <c r="K252" i="10"/>
  <c r="S252" i="10" s="1"/>
  <c r="O252" i="10" l="1"/>
  <c r="C252" i="10"/>
  <c r="L252" i="10"/>
  <c r="B252" i="10"/>
  <c r="F250" i="11"/>
  <c r="H250" i="11" s="1"/>
  <c r="I250" i="11" s="1"/>
  <c r="I252" i="10"/>
  <c r="Q252" i="10"/>
  <c r="J250" i="11"/>
  <c r="K250" i="11"/>
  <c r="E262" i="10" l="1"/>
  <c r="E254" i="10"/>
  <c r="E257" i="10"/>
  <c r="E260" i="10"/>
  <c r="E263" i="10"/>
  <c r="E255" i="10"/>
  <c r="E258" i="10"/>
  <c r="E261" i="10"/>
  <c r="E253" i="10"/>
  <c r="E264" i="10"/>
  <c r="E256" i="10"/>
  <c r="E259" i="10"/>
  <c r="C250" i="11"/>
  <c r="B250" i="11" s="1"/>
  <c r="D253" i="10"/>
  <c r="J253" i="10" s="1"/>
  <c r="N264" i="10" l="1"/>
  <c r="E325" i="10"/>
  <c r="F253" i="10"/>
  <c r="H253" i="10" s="1"/>
  <c r="K253" i="10"/>
  <c r="D251" i="11"/>
  <c r="J251" i="11" s="1"/>
  <c r="F251" i="11" l="1"/>
  <c r="H251" i="11" s="1"/>
  <c r="I251" i="11" s="1"/>
  <c r="C253" i="10"/>
  <c r="B253" i="10" s="1"/>
  <c r="K251" i="11"/>
  <c r="I253" i="10"/>
  <c r="C251" i="11" l="1"/>
  <c r="B251" i="11" s="1"/>
  <c r="D252" i="11" s="1"/>
  <c r="F252" i="11" s="1"/>
  <c r="H252" i="11" s="1"/>
  <c r="I252" i="11" s="1"/>
  <c r="D254" i="10"/>
  <c r="K254" i="10" s="1"/>
  <c r="K252" i="11" l="1"/>
  <c r="J252" i="11"/>
  <c r="F254" i="10"/>
  <c r="J254" i="10"/>
  <c r="C252" i="11"/>
  <c r="B252" i="11" s="1"/>
  <c r="D253" i="11" l="1"/>
  <c r="M253" i="11" s="1"/>
  <c r="H254" i="10"/>
  <c r="C254" i="10"/>
  <c r="K253" i="11" l="1"/>
  <c r="S253" i="11" s="1"/>
  <c r="J253" i="11"/>
  <c r="R253" i="11" s="1"/>
  <c r="B254" i="10"/>
  <c r="I254" i="10"/>
  <c r="F253" i="11"/>
  <c r="H253" i="11" l="1"/>
  <c r="C253" i="11"/>
  <c r="O253" i="11"/>
  <c r="D255" i="10"/>
  <c r="F255" i="10" s="1"/>
  <c r="H255" i="10" l="1"/>
  <c r="C255" i="10"/>
  <c r="J255" i="10"/>
  <c r="L253" i="11"/>
  <c r="B253" i="11"/>
  <c r="K255" i="10"/>
  <c r="I253" i="11"/>
  <c r="Q253" i="11"/>
  <c r="B255" i="10" l="1"/>
  <c r="D254" i="11"/>
  <c r="J254" i="11" s="1"/>
  <c r="I255" i="10"/>
  <c r="F254" i="11" l="1"/>
  <c r="D256" i="10"/>
  <c r="K256" i="10" s="1"/>
  <c r="K254" i="11"/>
  <c r="J256" i="10" l="1"/>
  <c r="F256" i="10"/>
  <c r="H256" i="10" s="1"/>
  <c r="H254" i="11"/>
  <c r="I254" i="11" s="1"/>
  <c r="C254" i="11"/>
  <c r="C256" i="10" l="1"/>
  <c r="B256" i="10" s="1"/>
  <c r="B254" i="11"/>
  <c r="I256" i="10"/>
  <c r="D257" i="10" l="1"/>
  <c r="F257" i="10" s="1"/>
  <c r="D255" i="11"/>
  <c r="F255" i="11" s="1"/>
  <c r="J255" i="11" l="1"/>
  <c r="K255" i="11"/>
  <c r="H257" i="10"/>
  <c r="C257" i="10"/>
  <c r="K257" i="10"/>
  <c r="H255" i="11"/>
  <c r="C255" i="11"/>
  <c r="J257" i="10"/>
  <c r="B255" i="11" l="1"/>
  <c r="I255" i="11"/>
  <c r="B257" i="10"/>
  <c r="I257" i="10"/>
  <c r="D258" i="10" l="1"/>
  <c r="F258" i="10" s="1"/>
  <c r="H258" i="10" s="1"/>
  <c r="I258" i="10" s="1"/>
  <c r="D256" i="11"/>
  <c r="K256" i="11" s="1"/>
  <c r="J256" i="11" l="1"/>
  <c r="K258" i="10"/>
  <c r="F256" i="11"/>
  <c r="C258" i="10"/>
  <c r="B258" i="10" s="1"/>
  <c r="J258" i="10"/>
  <c r="H256" i="11" l="1"/>
  <c r="C256" i="11"/>
  <c r="D259" i="10"/>
  <c r="B256" i="11" l="1"/>
  <c r="K259" i="10"/>
  <c r="F259" i="10"/>
  <c r="H259" i="10" s="1"/>
  <c r="I259" i="10" s="1"/>
  <c r="J259" i="10"/>
  <c r="I256" i="11"/>
  <c r="D257" i="11" l="1"/>
  <c r="K257" i="11" s="1"/>
  <c r="C259" i="10"/>
  <c r="B259" i="10" s="1"/>
  <c r="J257" i="11" l="1"/>
  <c r="F257" i="11"/>
  <c r="D260" i="10"/>
  <c r="F260" i="10" s="1"/>
  <c r="H260" i="10" s="1"/>
  <c r="I260" i="10" s="1"/>
  <c r="K260" i="10" l="1"/>
  <c r="H257" i="11"/>
  <c r="C257" i="11"/>
  <c r="C260" i="10"/>
  <c r="B260" i="10" s="1"/>
  <c r="J260" i="10"/>
  <c r="D261" i="10" l="1"/>
  <c r="B257" i="11"/>
  <c r="I257" i="11"/>
  <c r="F261" i="10" l="1"/>
  <c r="H261" i="10" s="1"/>
  <c r="I261" i="10" s="1"/>
  <c r="K261" i="10"/>
  <c r="D258" i="11"/>
  <c r="F258" i="11" s="1"/>
  <c r="J261" i="10"/>
  <c r="K258" i="11" l="1"/>
  <c r="H258" i="11"/>
  <c r="I258" i="11" s="1"/>
  <c r="C258" i="11"/>
  <c r="J258" i="11"/>
  <c r="C261" i="10"/>
  <c r="B261" i="10" s="1"/>
  <c r="B258" i="11" l="1"/>
  <c r="D262" i="10"/>
  <c r="F262" i="10" s="1"/>
  <c r="H262" i="10" s="1"/>
  <c r="I262" i="10" s="1"/>
  <c r="J262" i="10" l="1"/>
  <c r="C262" i="10"/>
  <c r="B262" i="10" s="1"/>
  <c r="D259" i="11"/>
  <c r="K259" i="11" s="1"/>
  <c r="K262" i="10"/>
  <c r="J259" i="11" l="1"/>
  <c r="F259" i="11"/>
  <c r="H259" i="11" s="1"/>
  <c r="I259" i="11" s="1"/>
  <c r="D263" i="10"/>
  <c r="K263" i="10" s="1"/>
  <c r="C259" i="11" l="1"/>
  <c r="B259" i="11" s="1"/>
  <c r="D260" i="11" s="1"/>
  <c r="F260" i="11" s="1"/>
  <c r="H260" i="11" s="1"/>
  <c r="I260" i="11" s="1"/>
  <c r="F263" i="10"/>
  <c r="H263" i="10" s="1"/>
  <c r="I263" i="10" s="1"/>
  <c r="J263" i="10"/>
  <c r="C263" i="10" l="1"/>
  <c r="B263" i="10" s="1"/>
  <c r="K260" i="11"/>
  <c r="J260" i="11"/>
  <c r="C260" i="11"/>
  <c r="B260" i="11" s="1"/>
  <c r="D264" i="10"/>
  <c r="M264" i="10" s="1"/>
  <c r="J264" i="10" l="1"/>
  <c r="R264" i="10" s="1"/>
  <c r="F264" i="10"/>
  <c r="O264" i="10" s="1"/>
  <c r="K264" i="10"/>
  <c r="S264" i="10" s="1"/>
  <c r="D261" i="11"/>
  <c r="J261" i="11" s="1"/>
  <c r="H264" i="10" l="1"/>
  <c r="I264" i="10" s="1"/>
  <c r="Q264" i="10"/>
  <c r="C264" i="10"/>
  <c r="L264" i="10" s="1"/>
  <c r="K261" i="11"/>
  <c r="F261" i="11"/>
  <c r="H261" i="11" s="1"/>
  <c r="I261" i="11" s="1"/>
  <c r="B264" i="10" l="1"/>
  <c r="D265" i="10" s="1"/>
  <c r="J265" i="10" s="1"/>
  <c r="F3" i="10"/>
  <c r="I325" i="10"/>
  <c r="C261" i="11"/>
  <c r="B261" i="11" s="1"/>
  <c r="F3" i="1" l="1"/>
  <c r="F3" i="11"/>
  <c r="F265" i="10"/>
  <c r="H265" i="10" s="1"/>
  <c r="K265" i="10"/>
  <c r="D262" i="11"/>
  <c r="F262" i="11" s="1"/>
  <c r="H262" i="11" s="1"/>
  <c r="I262" i="11" s="1"/>
  <c r="C265" i="10" l="1"/>
  <c r="B265" i="10" s="1"/>
  <c r="D266" i="10" s="1"/>
  <c r="C262" i="11"/>
  <c r="B262" i="11" s="1"/>
  <c r="J262" i="11"/>
  <c r="K262" i="11"/>
  <c r="K266" i="10" l="1"/>
  <c r="F266" i="10"/>
  <c r="C266" i="10" s="1"/>
  <c r="B266" i="10" s="1"/>
  <c r="J266" i="10"/>
  <c r="D263" i="11"/>
  <c r="H266" i="10" l="1"/>
  <c r="J263" i="11"/>
  <c r="D267" i="10"/>
  <c r="K267" i="10" s="1"/>
  <c r="F263" i="11"/>
  <c r="H263" i="11" s="1"/>
  <c r="I263" i="11" s="1"/>
  <c r="K263" i="11"/>
  <c r="F267" i="10" l="1"/>
  <c r="C267" i="10" s="1"/>
  <c r="B267" i="10" s="1"/>
  <c r="J267" i="10"/>
  <c r="C263" i="11"/>
  <c r="B263" i="11" s="1"/>
  <c r="H267" i="10" l="1"/>
  <c r="D264" i="11"/>
  <c r="F264" i="11" s="1"/>
  <c r="H264" i="11" s="1"/>
  <c r="I264" i="11" s="1"/>
  <c r="D268" i="10"/>
  <c r="K268" i="10" s="1"/>
  <c r="F268" i="10" l="1"/>
  <c r="C268" i="10" s="1"/>
  <c r="B268" i="10" s="1"/>
  <c r="J268" i="10"/>
  <c r="J264" i="11"/>
  <c r="C264" i="11"/>
  <c r="B264" i="11" s="1"/>
  <c r="K264" i="11"/>
  <c r="H268" i="10" l="1"/>
  <c r="D269" i="10"/>
  <c r="K269" i="10" s="1"/>
  <c r="D265" i="11"/>
  <c r="M265" i="11" s="1"/>
  <c r="J269" i="10" l="1"/>
  <c r="F269" i="10"/>
  <c r="C269" i="10" s="1"/>
  <c r="B269" i="10" s="1"/>
  <c r="K265" i="11"/>
  <c r="S265" i="11" s="1"/>
  <c r="J265" i="11"/>
  <c r="R265" i="11" s="1"/>
  <c r="F265" i="11"/>
  <c r="H269" i="10" l="1"/>
  <c r="H265" i="11"/>
  <c r="C265" i="11"/>
  <c r="O265" i="11"/>
  <c r="D270" i="10"/>
  <c r="J270" i="10" s="1"/>
  <c r="Q265" i="11" l="1"/>
  <c r="I265" i="11"/>
  <c r="I326" i="11" s="1"/>
  <c r="K270" i="10"/>
  <c r="L265" i="11"/>
  <c r="B265" i="11"/>
  <c r="F270" i="10"/>
  <c r="D266" i="11" l="1"/>
  <c r="F266" i="11" s="1"/>
  <c r="G9" i="11" s="1"/>
  <c r="C270" i="10"/>
  <c r="B270" i="10" s="1"/>
  <c r="H270" i="10"/>
  <c r="G12" i="11" l="1"/>
  <c r="G11" i="11"/>
  <c r="G13" i="11"/>
  <c r="K266" i="11"/>
  <c r="J266" i="11"/>
  <c r="D271" i="10"/>
  <c r="K271" i="10" s="1"/>
  <c r="H266" i="11"/>
  <c r="C266" i="11"/>
  <c r="J271" i="10" l="1"/>
  <c r="F271" i="10"/>
  <c r="C271" i="10" s="1"/>
  <c r="B271" i="10" s="1"/>
  <c r="B266" i="11"/>
  <c r="H271" i="10" l="1"/>
  <c r="D267" i="11"/>
  <c r="J267" i="11" s="1"/>
  <c r="D272" i="10"/>
  <c r="K272" i="10" s="1"/>
  <c r="J272" i="10" l="1"/>
  <c r="F272" i="10"/>
  <c r="H272" i="10" s="1"/>
  <c r="K267" i="11"/>
  <c r="F267" i="11"/>
  <c r="C267" i="11" s="1"/>
  <c r="C272" i="10" l="1"/>
  <c r="B272" i="10" s="1"/>
  <c r="D273" i="10" s="1"/>
  <c r="K273" i="10" s="1"/>
  <c r="H267" i="11"/>
  <c r="B267" i="11"/>
  <c r="J273" i="10" l="1"/>
  <c r="F273" i="10"/>
  <c r="C273" i="10" s="1"/>
  <c r="B273" i="10" s="1"/>
  <c r="D268" i="11"/>
  <c r="F268" i="11" s="1"/>
  <c r="H273" i="10" l="1"/>
  <c r="K268" i="11"/>
  <c r="D274" i="10"/>
  <c r="K274" i="10" s="1"/>
  <c r="H268" i="11"/>
  <c r="C268" i="11"/>
  <c r="J268" i="11"/>
  <c r="F274" i="10" l="1"/>
  <c r="C274" i="10" s="1"/>
  <c r="B274" i="10" s="1"/>
  <c r="J274" i="10"/>
  <c r="B268" i="11"/>
  <c r="H274" i="10" l="1"/>
  <c r="D269" i="11"/>
  <c r="K269" i="11" s="1"/>
  <c r="D275" i="10"/>
  <c r="K275" i="10" s="1"/>
  <c r="F275" i="10" l="1"/>
  <c r="C275" i="10" s="1"/>
  <c r="B275" i="10" s="1"/>
  <c r="J275" i="10"/>
  <c r="F269" i="11"/>
  <c r="J269" i="11"/>
  <c r="H275" i="10" l="1"/>
  <c r="C269" i="11"/>
  <c r="H269" i="11"/>
  <c r="D276" i="10"/>
  <c r="M276" i="10" s="1"/>
  <c r="K276" i="10" l="1"/>
  <c r="S276" i="10" s="1"/>
  <c r="F276" i="10"/>
  <c r="J276" i="10"/>
  <c r="R276" i="10" s="1"/>
  <c r="B269" i="11"/>
  <c r="H276" i="10" l="1"/>
  <c r="Q276" i="10" s="1"/>
  <c r="C276" i="10"/>
  <c r="O276" i="10"/>
  <c r="D270" i="11"/>
  <c r="F270" i="11" s="1"/>
  <c r="H270" i="11" l="1"/>
  <c r="C270" i="11"/>
  <c r="K270" i="11"/>
  <c r="L276" i="10"/>
  <c r="B276" i="10"/>
  <c r="J270" i="11"/>
  <c r="D277" i="10" l="1"/>
  <c r="J277" i="10" s="1"/>
  <c r="B270" i="11"/>
  <c r="K277" i="10" l="1"/>
  <c r="D271" i="11"/>
  <c r="F271" i="11" s="1"/>
  <c r="F277" i="10"/>
  <c r="J271" i="11" l="1"/>
  <c r="K271" i="11"/>
  <c r="C271" i="11"/>
  <c r="B271" i="11" s="1"/>
  <c r="H271" i="11"/>
  <c r="H277" i="10"/>
  <c r="C277" i="10"/>
  <c r="B277" i="10" l="1"/>
  <c r="D272" i="11"/>
  <c r="J272" i="11" s="1"/>
  <c r="F272" i="11" l="1"/>
  <c r="D278" i="10"/>
  <c r="J278" i="10" s="1"/>
  <c r="K272" i="11"/>
  <c r="H272" i="11" l="1"/>
  <c r="C272" i="11"/>
  <c r="B272" i="11" s="1"/>
  <c r="K278" i="10"/>
  <c r="F278" i="10"/>
  <c r="D273" i="11" l="1"/>
  <c r="K273" i="11" s="1"/>
  <c r="H278" i="10"/>
  <c r="C278" i="10"/>
  <c r="J273" i="11" l="1"/>
  <c r="B278" i="10"/>
  <c r="F273" i="11"/>
  <c r="H273" i="11" l="1"/>
  <c r="C273" i="11"/>
  <c r="B273" i="11" s="1"/>
  <c r="D279" i="10"/>
  <c r="J279" i="10" s="1"/>
  <c r="D274" i="11" l="1"/>
  <c r="J274" i="11" s="1"/>
  <c r="F279" i="10"/>
  <c r="K279" i="10"/>
  <c r="K274" i="11" l="1"/>
  <c r="F274" i="11"/>
  <c r="H274" i="11" s="1"/>
  <c r="C279" i="10"/>
  <c r="H279" i="10"/>
  <c r="C274" i="11" l="1"/>
  <c r="B274" i="11" s="1"/>
  <c r="D275" i="11" s="1"/>
  <c r="J275" i="11" s="1"/>
  <c r="B279" i="10"/>
  <c r="F275" i="11" l="1"/>
  <c r="D280" i="10"/>
  <c r="K280" i="10" s="1"/>
  <c r="K275" i="11"/>
  <c r="J280" i="10" l="1"/>
  <c r="F280" i="10"/>
  <c r="H275" i="11"/>
  <c r="C275" i="11"/>
  <c r="B275" i="11" s="1"/>
  <c r="D276" i="11" l="1"/>
  <c r="J276" i="11" s="1"/>
  <c r="C280" i="10"/>
  <c r="H280" i="10"/>
  <c r="K276" i="11" l="1"/>
  <c r="F276" i="11"/>
  <c r="H276" i="11" s="1"/>
  <c r="B280" i="10"/>
  <c r="C276" i="11" l="1"/>
  <c r="B276" i="11" s="1"/>
  <c r="D277" i="11" s="1"/>
  <c r="D281" i="10"/>
  <c r="K281" i="10" s="1"/>
  <c r="M277" i="11" l="1"/>
  <c r="J277" i="11"/>
  <c r="R277" i="11" s="1"/>
  <c r="F281" i="10"/>
  <c r="H281" i="10" s="1"/>
  <c r="J281" i="10"/>
  <c r="K277" i="11"/>
  <c r="S277" i="11" s="1"/>
  <c r="F277" i="11"/>
  <c r="C281" i="10" l="1"/>
  <c r="H277" i="11"/>
  <c r="Q277" i="11" s="1"/>
  <c r="C277" i="11"/>
  <c r="O277" i="11"/>
  <c r="B281" i="10"/>
  <c r="L277" i="11" l="1"/>
  <c r="B277" i="11"/>
  <c r="D282" i="10"/>
  <c r="K282" i="10" s="1"/>
  <c r="J282" i="10" l="1"/>
  <c r="D278" i="11"/>
  <c r="F278" i="11" s="1"/>
  <c r="F282" i="10"/>
  <c r="J278" i="11" l="1"/>
  <c r="K278" i="11"/>
  <c r="C282" i="10"/>
  <c r="B282" i="10" s="1"/>
  <c r="H282" i="10"/>
  <c r="C278" i="11"/>
  <c r="H278" i="11"/>
  <c r="D283" i="10" l="1"/>
  <c r="J283" i="10" s="1"/>
  <c r="B278" i="11"/>
  <c r="K283" i="10" l="1"/>
  <c r="F283" i="10"/>
  <c r="C283" i="10" s="1"/>
  <c r="B283" i="10" s="1"/>
  <c r="D279" i="11"/>
  <c r="K279" i="11" s="1"/>
  <c r="J279" i="11" l="1"/>
  <c r="H283" i="10"/>
  <c r="F279" i="11"/>
  <c r="H279" i="11" s="1"/>
  <c r="D284" i="10"/>
  <c r="L10" i="7"/>
  <c r="F69" i="7" s="1"/>
  <c r="L11" i="7"/>
  <c r="F70" i="7" s="1"/>
  <c r="L9" i="7"/>
  <c r="F68" i="7" s="1"/>
  <c r="I123" i="7"/>
  <c r="B78" i="7"/>
  <c r="F222" i="7"/>
  <c r="F221" i="7"/>
  <c r="F220" i="7"/>
  <c r="B222" i="7"/>
  <c r="B221" i="7"/>
  <c r="B220" i="7"/>
  <c r="F215" i="7"/>
  <c r="F214" i="7"/>
  <c r="F213" i="7"/>
  <c r="B215" i="7"/>
  <c r="B214" i="7"/>
  <c r="B213" i="7"/>
  <c r="A207" i="7"/>
  <c r="B167" i="7"/>
  <c r="E96" i="7"/>
  <c r="F89" i="7"/>
  <c r="B77" i="7"/>
  <c r="B75" i="7"/>
  <c r="E63" i="7"/>
  <c r="D65" i="7"/>
  <c r="F3" i="6"/>
  <c r="B187" i="7" s="1"/>
  <c r="E196" i="7"/>
  <c r="E202" i="7" s="1"/>
  <c r="I105" i="7"/>
  <c r="B228" i="7"/>
  <c r="B182"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L12" i="1"/>
  <c r="D15" i="3"/>
  <c r="C9" i="2"/>
  <c r="C6" i="2"/>
  <c r="C12" i="1"/>
  <c r="B25" i="1"/>
  <c r="C4" i="4"/>
  <c r="E8" i="4" s="1"/>
  <c r="D4" i="4"/>
  <c r="C13" i="2"/>
  <c r="C12" i="2"/>
  <c r="C11" i="2"/>
  <c r="C15" i="2"/>
  <c r="E54" i="2"/>
  <c r="C5" i="2"/>
  <c r="C8" i="2"/>
  <c r="C10" i="2"/>
  <c r="C4" i="2"/>
  <c r="D12" i="3"/>
  <c r="D11" i="3"/>
  <c r="D10" i="3"/>
  <c r="D14" i="3"/>
  <c r="D5" i="3"/>
  <c r="D7" i="3"/>
  <c r="D8" i="3"/>
  <c r="D9" i="3"/>
  <c r="D4" i="3"/>
  <c r="L13" i="1"/>
  <c r="C7" i="2"/>
  <c r="D6" i="3"/>
  <c r="B51" i="2"/>
  <c r="B50" i="2"/>
  <c r="D45" i="2"/>
  <c r="C45" i="2"/>
  <c r="B45" i="2"/>
  <c r="E44" i="2"/>
  <c r="C46" i="2"/>
  <c r="E45" i="2"/>
  <c r="B46" i="2"/>
  <c r="D46" i="2"/>
  <c r="B47" i="2"/>
  <c r="C47" i="2"/>
  <c r="E46" i="2"/>
  <c r="E47" i="2"/>
  <c r="C48" i="2"/>
  <c r="E48" i="2"/>
  <c r="C49" i="2"/>
  <c r="B49" i="2"/>
  <c r="E49" i="2"/>
  <c r="C50" i="2"/>
  <c r="E50" i="2"/>
  <c r="D51" i="2"/>
  <c r="C51" i="2"/>
  <c r="C52" i="2"/>
  <c r="E51" i="2"/>
  <c r="E52" i="2"/>
  <c r="C53" i="2"/>
  <c r="D53" i="2"/>
  <c r="D54" i="2"/>
  <c r="C54" i="2"/>
  <c r="E53" i="2"/>
  <c r="B48" i="2"/>
  <c r="D49" i="2"/>
  <c r="B52" i="2"/>
  <c r="D50" i="2"/>
  <c r="D52" i="2"/>
  <c r="B53" i="2"/>
  <c r="B54" i="2"/>
  <c r="D48" i="2"/>
  <c r="D47" i="2"/>
  <c r="I266" i="1"/>
  <c r="I267" i="1"/>
  <c r="I268" i="1"/>
  <c r="I269" i="1"/>
  <c r="I270" i="1"/>
  <c r="I271" i="1"/>
  <c r="I272" i="1"/>
  <c r="I274" i="1"/>
  <c r="I273" i="1"/>
  <c r="I275" i="1"/>
  <c r="I276" i="1"/>
  <c r="I279" i="1"/>
  <c r="I277" i="1"/>
  <c r="I278" i="1"/>
  <c r="I280" i="1"/>
  <c r="I281" i="1"/>
  <c r="I284" i="1"/>
  <c r="I282" i="1"/>
  <c r="I285" i="1"/>
  <c r="I283" i="1"/>
  <c r="I286" i="1"/>
  <c r="I287" i="1"/>
  <c r="I288" i="1"/>
  <c r="I289" i="1"/>
  <c r="I290" i="1"/>
  <c r="I292" i="1"/>
  <c r="I291" i="1"/>
  <c r="I295" i="1"/>
  <c r="I293" i="1"/>
  <c r="I294" i="1"/>
  <c r="I296" i="1"/>
  <c r="I297" i="1"/>
  <c r="I298" i="1"/>
  <c r="I299" i="1"/>
  <c r="I300" i="1"/>
  <c r="I303" i="1"/>
  <c r="I301" i="1"/>
  <c r="I302" i="1"/>
  <c r="I305" i="1"/>
  <c r="I304" i="1"/>
  <c r="I307" i="1"/>
  <c r="I306" i="1"/>
  <c r="I309" i="1"/>
  <c r="I308" i="1"/>
  <c r="I310" i="1"/>
  <c r="I311" i="1"/>
  <c r="I312" i="1"/>
  <c r="I313" i="1"/>
  <c r="I316" i="1"/>
  <c r="I314" i="1"/>
  <c r="I315" i="1"/>
  <c r="I319" i="1"/>
  <c r="I317" i="1"/>
  <c r="I318" i="1"/>
  <c r="I321" i="1"/>
  <c r="I320" i="1"/>
  <c r="I322" i="1"/>
  <c r="I323" i="1"/>
  <c r="I324" i="1"/>
  <c r="I325" i="1"/>
  <c r="C10" i="4" l="1"/>
  <c r="E190" i="7"/>
  <c r="C279" i="11"/>
  <c r="B279" i="11" s="1"/>
  <c r="K284" i="10"/>
  <c r="F284" i="10"/>
  <c r="J284" i="10"/>
  <c r="E27" i="1"/>
  <c r="E31" i="1"/>
  <c r="E35" i="1"/>
  <c r="E39" i="1"/>
  <c r="E43" i="1"/>
  <c r="E47" i="1"/>
  <c r="E51" i="1"/>
  <c r="E55" i="1"/>
  <c r="E59" i="1"/>
  <c r="E63" i="1"/>
  <c r="E67" i="1"/>
  <c r="E71" i="1"/>
  <c r="E75" i="1"/>
  <c r="E79" i="1"/>
  <c r="E83" i="1"/>
  <c r="E87" i="1"/>
  <c r="E91" i="1"/>
  <c r="E95" i="1"/>
  <c r="E99" i="1"/>
  <c r="E103" i="1"/>
  <c r="E107" i="1"/>
  <c r="E111" i="1"/>
  <c r="E115" i="1"/>
  <c r="E119" i="1"/>
  <c r="E123" i="1"/>
  <c r="E127" i="1"/>
  <c r="E131" i="1"/>
  <c r="E135" i="1"/>
  <c r="E139" i="1"/>
  <c r="E143" i="1"/>
  <c r="E147" i="1"/>
  <c r="E151" i="1"/>
  <c r="E155" i="1"/>
  <c r="E159" i="1"/>
  <c r="E163" i="1"/>
  <c r="E167" i="1"/>
  <c r="E171" i="1"/>
  <c r="E175" i="1"/>
  <c r="E179" i="1"/>
  <c r="E183" i="1"/>
  <c r="E187" i="1"/>
  <c r="E191" i="1"/>
  <c r="E195" i="1"/>
  <c r="E199" i="1"/>
  <c r="E203" i="1"/>
  <c r="E207" i="1"/>
  <c r="E211" i="1"/>
  <c r="E215" i="1"/>
  <c r="E219" i="1"/>
  <c r="E223" i="1"/>
  <c r="E227" i="1"/>
  <c r="E231" i="1"/>
  <c r="E235" i="1"/>
  <c r="E239" i="1"/>
  <c r="E243" i="1"/>
  <c r="E247" i="1"/>
  <c r="E251" i="1"/>
  <c r="E255" i="1"/>
  <c r="E259" i="1"/>
  <c r="E263" i="1"/>
  <c r="E28" i="1"/>
  <c r="E32" i="1"/>
  <c r="E36" i="1"/>
  <c r="E40" i="1"/>
  <c r="E44" i="1"/>
  <c r="E48" i="1"/>
  <c r="E52" i="1"/>
  <c r="E56" i="1"/>
  <c r="E60" i="1"/>
  <c r="E64" i="1"/>
  <c r="E68" i="1"/>
  <c r="E72" i="1"/>
  <c r="E76" i="1"/>
  <c r="E80" i="1"/>
  <c r="E84" i="1"/>
  <c r="E88" i="1"/>
  <c r="E92" i="1"/>
  <c r="E96" i="1"/>
  <c r="E100" i="1"/>
  <c r="E104" i="1"/>
  <c r="E108" i="1"/>
  <c r="E112" i="1"/>
  <c r="E116" i="1"/>
  <c r="E120" i="1"/>
  <c r="E124" i="1"/>
  <c r="E128" i="1"/>
  <c r="E132" i="1"/>
  <c r="E136" i="1"/>
  <c r="E140" i="1"/>
  <c r="E144" i="1"/>
  <c r="E148" i="1"/>
  <c r="E152" i="1"/>
  <c r="E156" i="1"/>
  <c r="E160" i="1"/>
  <c r="E164" i="1"/>
  <c r="E168" i="1"/>
  <c r="E172" i="1"/>
  <c r="E176" i="1"/>
  <c r="E180" i="1"/>
  <c r="E184" i="1"/>
  <c r="E188" i="1"/>
  <c r="E192" i="1"/>
  <c r="E196" i="1"/>
  <c r="E200" i="1"/>
  <c r="E204" i="1"/>
  <c r="E208" i="1"/>
  <c r="E212" i="1"/>
  <c r="E216" i="1"/>
  <c r="E220" i="1"/>
  <c r="E224" i="1"/>
  <c r="E228" i="1"/>
  <c r="E232" i="1"/>
  <c r="E236" i="1"/>
  <c r="E240" i="1"/>
  <c r="E244" i="1"/>
  <c r="E248" i="1"/>
  <c r="E252" i="1"/>
  <c r="E256" i="1"/>
  <c r="E260" i="1"/>
  <c r="E264" i="1"/>
  <c r="E29" i="1"/>
  <c r="E33" i="1"/>
  <c r="E37" i="1"/>
  <c r="E41" i="1"/>
  <c r="E45" i="1"/>
  <c r="E49" i="1"/>
  <c r="E53" i="1"/>
  <c r="E57" i="1"/>
  <c r="E61" i="1"/>
  <c r="E65" i="1"/>
  <c r="E69" i="1"/>
  <c r="E73" i="1"/>
  <c r="E77" i="1"/>
  <c r="E81" i="1"/>
  <c r="E85" i="1"/>
  <c r="E89" i="1"/>
  <c r="E93" i="1"/>
  <c r="E97" i="1"/>
  <c r="E101" i="1"/>
  <c r="E105" i="1"/>
  <c r="E109" i="1"/>
  <c r="E113" i="1"/>
  <c r="E117" i="1"/>
  <c r="E121" i="1"/>
  <c r="E125" i="1"/>
  <c r="E129" i="1"/>
  <c r="E133" i="1"/>
  <c r="E137" i="1"/>
  <c r="E141" i="1"/>
  <c r="E145" i="1"/>
  <c r="E149" i="1"/>
  <c r="E153" i="1"/>
  <c r="E157" i="1"/>
  <c r="E161" i="1"/>
  <c r="E165" i="1"/>
  <c r="E169" i="1"/>
  <c r="E173" i="1"/>
  <c r="E177" i="1"/>
  <c r="E181" i="1"/>
  <c r="E185" i="1"/>
  <c r="E189" i="1"/>
  <c r="E193" i="1"/>
  <c r="E197" i="1"/>
  <c r="E201" i="1"/>
  <c r="E205" i="1"/>
  <c r="E209" i="1"/>
  <c r="E213" i="1"/>
  <c r="E217" i="1"/>
  <c r="E221" i="1"/>
  <c r="E225" i="1"/>
  <c r="E229" i="1"/>
  <c r="E233" i="1"/>
  <c r="E237" i="1"/>
  <c r="E241" i="1"/>
  <c r="E245" i="1"/>
  <c r="E249" i="1"/>
  <c r="E253" i="1"/>
  <c r="E257" i="1"/>
  <c r="E261" i="1"/>
  <c r="E42" i="1"/>
  <c r="E58" i="1"/>
  <c r="E74" i="1"/>
  <c r="E90" i="1"/>
  <c r="E106" i="1"/>
  <c r="E122" i="1"/>
  <c r="E138" i="1"/>
  <c r="E154" i="1"/>
  <c r="E170" i="1"/>
  <c r="E186" i="1"/>
  <c r="E202" i="1"/>
  <c r="E218" i="1"/>
  <c r="E234" i="1"/>
  <c r="E250" i="1"/>
  <c r="E265" i="1"/>
  <c r="E34" i="1"/>
  <c r="E50" i="1"/>
  <c r="E66" i="1"/>
  <c r="E82" i="1"/>
  <c r="E98" i="1"/>
  <c r="E114" i="1"/>
  <c r="E130" i="1"/>
  <c r="E146" i="1"/>
  <c r="E162" i="1"/>
  <c r="E178" i="1"/>
  <c r="E194" i="1"/>
  <c r="E210" i="1"/>
  <c r="E226" i="1"/>
  <c r="E242" i="1"/>
  <c r="E258" i="1"/>
  <c r="E38" i="1"/>
  <c r="E54" i="1"/>
  <c r="E70" i="1"/>
  <c r="E86" i="1"/>
  <c r="E102" i="1"/>
  <c r="E118" i="1"/>
  <c r="E134" i="1"/>
  <c r="E150" i="1"/>
  <c r="E166" i="1"/>
  <c r="E182" i="1"/>
  <c r="E198" i="1"/>
  <c r="E214" i="1"/>
  <c r="E230" i="1"/>
  <c r="E246" i="1"/>
  <c r="E262" i="1"/>
  <c r="E78" i="1"/>
  <c r="E142" i="1"/>
  <c r="E206" i="1"/>
  <c r="E26" i="1"/>
  <c r="E30" i="1"/>
  <c r="E94" i="1"/>
  <c r="E222" i="1"/>
  <c r="E158" i="1"/>
  <c r="E46" i="1"/>
  <c r="E110" i="1"/>
  <c r="E174" i="1"/>
  <c r="E238" i="1"/>
  <c r="E62" i="1"/>
  <c r="E126" i="1"/>
  <c r="E190" i="1"/>
  <c r="E254" i="1"/>
  <c r="D26" i="1"/>
  <c r="K25" i="1"/>
  <c r="C12" i="11"/>
  <c r="I127" i="7"/>
  <c r="C127" i="7"/>
  <c r="G127" i="7"/>
  <c r="D127" i="7"/>
  <c r="E127" i="7"/>
  <c r="I131" i="7"/>
  <c r="C131" i="7"/>
  <c r="G131" i="7"/>
  <c r="E131" i="7"/>
  <c r="D131" i="7"/>
  <c r="I135" i="7"/>
  <c r="C135" i="7"/>
  <c r="D135" i="7"/>
  <c r="G135" i="7"/>
  <c r="E135" i="7"/>
  <c r="I139" i="7"/>
  <c r="C139" i="7"/>
  <c r="G139" i="7"/>
  <c r="D139" i="7"/>
  <c r="E139" i="7"/>
  <c r="I143" i="7"/>
  <c r="C143" i="7"/>
  <c r="G143" i="7"/>
  <c r="E143" i="7"/>
  <c r="D143" i="7"/>
  <c r="G147" i="7"/>
  <c r="I128" i="7"/>
  <c r="D128" i="7"/>
  <c r="C128" i="7"/>
  <c r="G128" i="7"/>
  <c r="E128" i="7"/>
  <c r="I132" i="7"/>
  <c r="D132" i="7"/>
  <c r="C132" i="7"/>
  <c r="E132" i="7"/>
  <c r="G132" i="7"/>
  <c r="I136" i="7"/>
  <c r="D136" i="7"/>
  <c r="C136" i="7"/>
  <c r="G136" i="7"/>
  <c r="E136" i="7"/>
  <c r="I140" i="7"/>
  <c r="D140" i="7"/>
  <c r="C140" i="7"/>
  <c r="E140" i="7"/>
  <c r="G140" i="7"/>
  <c r="I144" i="7"/>
  <c r="D144" i="7"/>
  <c r="E144" i="7"/>
  <c r="C144" i="7"/>
  <c r="G144" i="7"/>
  <c r="G148" i="7"/>
  <c r="I125" i="7"/>
  <c r="G125" i="7"/>
  <c r="E125" i="7"/>
  <c r="C125" i="7"/>
  <c r="D125" i="7"/>
  <c r="I129" i="7"/>
  <c r="E129" i="7"/>
  <c r="D129" i="7"/>
  <c r="C129" i="7"/>
  <c r="G129" i="7"/>
  <c r="I133" i="7"/>
  <c r="E133" i="7"/>
  <c r="D133" i="7"/>
  <c r="G133" i="7"/>
  <c r="C133" i="7"/>
  <c r="I137" i="7"/>
  <c r="E137" i="7"/>
  <c r="G137" i="7"/>
  <c r="D137" i="7"/>
  <c r="C137" i="7"/>
  <c r="I141" i="7"/>
  <c r="E141" i="7"/>
  <c r="D141" i="7"/>
  <c r="G141" i="7"/>
  <c r="C141" i="7"/>
  <c r="I145" i="7"/>
  <c r="E145" i="7"/>
  <c r="D145" i="7"/>
  <c r="C145" i="7"/>
  <c r="G145" i="7"/>
  <c r="G149" i="7"/>
  <c r="E194" i="7"/>
  <c r="I126" i="7"/>
  <c r="G126" i="7"/>
  <c r="C126" i="7"/>
  <c r="E126" i="7"/>
  <c r="D126" i="7"/>
  <c r="I130" i="7"/>
  <c r="G130" i="7"/>
  <c r="E130" i="7"/>
  <c r="D130" i="7"/>
  <c r="C130" i="7"/>
  <c r="I134" i="7"/>
  <c r="G134" i="7"/>
  <c r="E134" i="7"/>
  <c r="C134" i="7"/>
  <c r="D134" i="7"/>
  <c r="I138" i="7"/>
  <c r="G138" i="7"/>
  <c r="E138" i="7"/>
  <c r="D138" i="7"/>
  <c r="C138" i="7"/>
  <c r="I142" i="7"/>
  <c r="G142" i="7"/>
  <c r="C142" i="7"/>
  <c r="E142" i="7"/>
  <c r="D142" i="7"/>
  <c r="G146" i="7"/>
  <c r="G39" i="1"/>
  <c r="G43" i="1"/>
  <c r="G47" i="1"/>
  <c r="G40" i="1"/>
  <c r="G44" i="1"/>
  <c r="G48" i="1"/>
  <c r="G41" i="1"/>
  <c r="G45" i="1"/>
  <c r="G49" i="1"/>
  <c r="G38" i="1"/>
  <c r="G42" i="1"/>
  <c r="G46" i="1"/>
  <c r="G27" i="1"/>
  <c r="G31" i="1"/>
  <c r="G35" i="1"/>
  <c r="G26" i="1"/>
  <c r="D21" i="3" s="1"/>
  <c r="G28" i="1"/>
  <c r="G32" i="1"/>
  <c r="G36" i="1"/>
  <c r="G34" i="1"/>
  <c r="G29" i="1"/>
  <c r="G33" i="1"/>
  <c r="G37" i="1"/>
  <c r="G30" i="1"/>
  <c r="K50" i="1"/>
  <c r="K54" i="1"/>
  <c r="K58" i="1"/>
  <c r="K62" i="1"/>
  <c r="K66" i="1"/>
  <c r="K70" i="1"/>
  <c r="K74" i="1"/>
  <c r="K78" i="1"/>
  <c r="K82" i="1"/>
  <c r="K86" i="1"/>
  <c r="K90" i="1"/>
  <c r="K94" i="1"/>
  <c r="K98" i="1"/>
  <c r="K102" i="1"/>
  <c r="K106" i="1"/>
  <c r="K110" i="1"/>
  <c r="K114" i="1"/>
  <c r="K118" i="1"/>
  <c r="K122" i="1"/>
  <c r="K126" i="1"/>
  <c r="K130" i="1"/>
  <c r="K134" i="1"/>
  <c r="K138" i="1"/>
  <c r="K142" i="1"/>
  <c r="J51" i="1"/>
  <c r="J55" i="1"/>
  <c r="J59" i="1"/>
  <c r="J63" i="1"/>
  <c r="J67" i="1"/>
  <c r="J71" i="1"/>
  <c r="J75" i="1"/>
  <c r="J79" i="1"/>
  <c r="J83" i="1"/>
  <c r="J87" i="1"/>
  <c r="J91" i="1"/>
  <c r="J95" i="1"/>
  <c r="J99" i="1"/>
  <c r="J103" i="1"/>
  <c r="J107" i="1"/>
  <c r="J111" i="1"/>
  <c r="J115" i="1"/>
  <c r="J119" i="1"/>
  <c r="J123" i="1"/>
  <c r="J127" i="1"/>
  <c r="J131" i="1"/>
  <c r="J135" i="1"/>
  <c r="J139" i="1"/>
  <c r="J143" i="1"/>
  <c r="K51" i="1"/>
  <c r="K55" i="1"/>
  <c r="K59" i="1"/>
  <c r="K63" i="1"/>
  <c r="K67" i="1"/>
  <c r="K71" i="1"/>
  <c r="K75" i="1"/>
  <c r="K79" i="1"/>
  <c r="K83" i="1"/>
  <c r="K87" i="1"/>
  <c r="K91" i="1"/>
  <c r="K95" i="1"/>
  <c r="K99" i="1"/>
  <c r="K103" i="1"/>
  <c r="K107" i="1"/>
  <c r="K111" i="1"/>
  <c r="K115" i="1"/>
  <c r="K119" i="1"/>
  <c r="K123" i="1"/>
  <c r="K127" i="1"/>
  <c r="K131" i="1"/>
  <c r="K135" i="1"/>
  <c r="K139" i="1"/>
  <c r="K143" i="1"/>
  <c r="K52" i="1"/>
  <c r="K56" i="1"/>
  <c r="K60" i="1"/>
  <c r="K64" i="1"/>
  <c r="K68" i="1"/>
  <c r="K72" i="1"/>
  <c r="K76" i="1"/>
  <c r="K80" i="1"/>
  <c r="K84" i="1"/>
  <c r="K88" i="1"/>
  <c r="K92" i="1"/>
  <c r="K96" i="1"/>
  <c r="K100" i="1"/>
  <c r="K104" i="1"/>
  <c r="K108" i="1"/>
  <c r="K112" i="1"/>
  <c r="K116" i="1"/>
  <c r="K120" i="1"/>
  <c r="K124" i="1"/>
  <c r="K128" i="1"/>
  <c r="K132" i="1"/>
  <c r="K136" i="1"/>
  <c r="K140" i="1"/>
  <c r="K144" i="1"/>
  <c r="J53" i="1"/>
  <c r="J57" i="1"/>
  <c r="J61" i="1"/>
  <c r="J65" i="1"/>
  <c r="J69" i="1"/>
  <c r="J73" i="1"/>
  <c r="J77" i="1"/>
  <c r="J81" i="1"/>
  <c r="J85" i="1"/>
  <c r="J89" i="1"/>
  <c r="J93" i="1"/>
  <c r="J97" i="1"/>
  <c r="J101" i="1"/>
  <c r="J105" i="1"/>
  <c r="J109" i="1"/>
  <c r="J113" i="1"/>
  <c r="J117" i="1"/>
  <c r="J121" i="1"/>
  <c r="J125" i="1"/>
  <c r="J129" i="1"/>
  <c r="J133" i="1"/>
  <c r="J137" i="1"/>
  <c r="J141" i="1"/>
  <c r="K53" i="1"/>
  <c r="K57" i="1"/>
  <c r="K61" i="1"/>
  <c r="K65" i="1"/>
  <c r="K69" i="1"/>
  <c r="K73" i="1"/>
  <c r="K77" i="1"/>
  <c r="K81" i="1"/>
  <c r="K85" i="1"/>
  <c r="K89" i="1"/>
  <c r="K93" i="1"/>
  <c r="K97" i="1"/>
  <c r="K101" i="1"/>
  <c r="K105" i="1"/>
  <c r="K109" i="1"/>
  <c r="K113" i="1"/>
  <c r="K117" i="1"/>
  <c r="K121" i="1"/>
  <c r="K125" i="1"/>
  <c r="K129" i="1"/>
  <c r="K133" i="1"/>
  <c r="K137" i="1"/>
  <c r="K141" i="1"/>
  <c r="J50" i="1"/>
  <c r="J54" i="1"/>
  <c r="J58" i="1"/>
  <c r="J62" i="1"/>
  <c r="J60" i="1"/>
  <c r="J70" i="1"/>
  <c r="J78" i="1"/>
  <c r="J86" i="1"/>
  <c r="J94" i="1"/>
  <c r="J102" i="1"/>
  <c r="J110" i="1"/>
  <c r="J118" i="1"/>
  <c r="J126" i="1"/>
  <c r="J134" i="1"/>
  <c r="J142" i="1"/>
  <c r="F51" i="1"/>
  <c r="F55" i="1"/>
  <c r="F59" i="1"/>
  <c r="F63" i="1"/>
  <c r="F67" i="1"/>
  <c r="F71" i="1"/>
  <c r="F75" i="1"/>
  <c r="F79" i="1"/>
  <c r="F83" i="1"/>
  <c r="F87" i="1"/>
  <c r="F91" i="1"/>
  <c r="F95" i="1"/>
  <c r="F99" i="1"/>
  <c r="F103" i="1"/>
  <c r="F107" i="1"/>
  <c r="F111" i="1"/>
  <c r="F115" i="1"/>
  <c r="F119" i="1"/>
  <c r="F123" i="1"/>
  <c r="F127" i="1"/>
  <c r="F131" i="1"/>
  <c r="F135" i="1"/>
  <c r="F139" i="1"/>
  <c r="F143" i="1"/>
  <c r="F56" i="1"/>
  <c r="F64" i="1"/>
  <c r="F68" i="1"/>
  <c r="F80" i="1"/>
  <c r="F88" i="1"/>
  <c r="F100" i="1"/>
  <c r="F108" i="1"/>
  <c r="F120" i="1"/>
  <c r="F128" i="1"/>
  <c r="F140" i="1"/>
  <c r="F65" i="1"/>
  <c r="F77" i="1"/>
  <c r="F93" i="1"/>
  <c r="J64" i="1"/>
  <c r="J72" i="1"/>
  <c r="J80" i="1"/>
  <c r="J88" i="1"/>
  <c r="J96" i="1"/>
  <c r="J104" i="1"/>
  <c r="J112" i="1"/>
  <c r="J120" i="1"/>
  <c r="J128" i="1"/>
  <c r="J136" i="1"/>
  <c r="J144" i="1"/>
  <c r="F52" i="1"/>
  <c r="F76" i="1"/>
  <c r="F96" i="1"/>
  <c r="F112" i="1"/>
  <c r="F136" i="1"/>
  <c r="F81" i="1"/>
  <c r="J52" i="1"/>
  <c r="J66" i="1"/>
  <c r="J74" i="1"/>
  <c r="J82" i="1"/>
  <c r="J90" i="1"/>
  <c r="J98" i="1"/>
  <c r="J106" i="1"/>
  <c r="J114" i="1"/>
  <c r="J122" i="1"/>
  <c r="J130" i="1"/>
  <c r="J138" i="1"/>
  <c r="F53" i="1"/>
  <c r="F57" i="1"/>
  <c r="F61" i="1"/>
  <c r="F69" i="1"/>
  <c r="F89" i="1"/>
  <c r="J56" i="1"/>
  <c r="J68" i="1"/>
  <c r="J76" i="1"/>
  <c r="J84" i="1"/>
  <c r="J92" i="1"/>
  <c r="J100" i="1"/>
  <c r="J108" i="1"/>
  <c r="J116" i="1"/>
  <c r="J124" i="1"/>
  <c r="J132" i="1"/>
  <c r="J140" i="1"/>
  <c r="F50" i="1"/>
  <c r="F54" i="1"/>
  <c r="F58" i="1"/>
  <c r="F62" i="1"/>
  <c r="F66" i="1"/>
  <c r="F70" i="1"/>
  <c r="F74" i="1"/>
  <c r="F78" i="1"/>
  <c r="F82" i="1"/>
  <c r="F86" i="1"/>
  <c r="F90" i="1"/>
  <c r="F94" i="1"/>
  <c r="F98" i="1"/>
  <c r="F102" i="1"/>
  <c r="F106" i="1"/>
  <c r="F110" i="1"/>
  <c r="F114" i="1"/>
  <c r="F118" i="1"/>
  <c r="F122" i="1"/>
  <c r="F126" i="1"/>
  <c r="F130" i="1"/>
  <c r="F134" i="1"/>
  <c r="F138" i="1"/>
  <c r="F142" i="1"/>
  <c r="F60" i="1"/>
  <c r="F72" i="1"/>
  <c r="F84" i="1"/>
  <c r="F92" i="1"/>
  <c r="F104" i="1"/>
  <c r="F116" i="1"/>
  <c r="F124" i="1"/>
  <c r="F132" i="1"/>
  <c r="F144" i="1"/>
  <c r="F73" i="1"/>
  <c r="F85" i="1"/>
  <c r="F97" i="1"/>
  <c r="F113" i="1"/>
  <c r="F129" i="1"/>
  <c r="F117" i="1"/>
  <c r="F101" i="1"/>
  <c r="F133" i="1"/>
  <c r="F105" i="1"/>
  <c r="F121" i="1"/>
  <c r="F137" i="1"/>
  <c r="F125" i="1"/>
  <c r="F141" i="1"/>
  <c r="F109" i="1"/>
  <c r="G3" i="6"/>
  <c r="I191" i="7"/>
  <c r="I199" i="7" s="1"/>
  <c r="H191" i="7"/>
  <c r="H195" i="7" s="1"/>
  <c r="H194" i="7" s="1"/>
  <c r="F73" i="7"/>
  <c r="D74" i="7"/>
  <c r="F72" i="7"/>
  <c r="E72" i="7"/>
  <c r="E198" i="7"/>
  <c r="E192" i="7"/>
  <c r="E200" i="7"/>
  <c r="N277" i="1"/>
  <c r="F191" i="7"/>
  <c r="E73" i="7"/>
  <c r="G191" i="7"/>
  <c r="E71" i="7"/>
  <c r="H25" i="1"/>
  <c r="I25" i="1" s="1"/>
  <c r="N325" i="1"/>
  <c r="N301" i="1"/>
  <c r="C14" i="2"/>
  <c r="J25" i="1"/>
  <c r="D13" i="3"/>
  <c r="C9" i="4"/>
  <c r="C8" i="4"/>
  <c r="N313" i="1"/>
  <c r="N289" i="1"/>
  <c r="F132" i="7" l="1"/>
  <c r="H132" i="7" s="1"/>
  <c r="F125" i="7"/>
  <c r="H125" i="7" s="1"/>
  <c r="F145" i="7"/>
  <c r="H145" i="7" s="1"/>
  <c r="F129" i="7"/>
  <c r="H129" i="7" s="1"/>
  <c r="C284" i="10"/>
  <c r="B284" i="10" s="1"/>
  <c r="H284" i="10"/>
  <c r="D280" i="11"/>
  <c r="K280" i="11" s="1"/>
  <c r="J25" i="11"/>
  <c r="K25" i="11"/>
  <c r="I25" i="11"/>
  <c r="F134" i="7"/>
  <c r="H134" i="7" s="1"/>
  <c r="F137" i="7"/>
  <c r="H137" i="7" s="1"/>
  <c r="F131" i="7"/>
  <c r="H131" i="7" s="1"/>
  <c r="F144" i="7"/>
  <c r="H144" i="7" s="1"/>
  <c r="F128" i="7"/>
  <c r="H128" i="7" s="1"/>
  <c r="F127" i="7"/>
  <c r="H127" i="7" s="1"/>
  <c r="F136" i="7"/>
  <c r="H136" i="7" s="1"/>
  <c r="F138" i="7"/>
  <c r="H138" i="7" s="1"/>
  <c r="F141" i="7"/>
  <c r="H141" i="7" s="1"/>
  <c r="F140" i="7"/>
  <c r="H140" i="7" s="1"/>
  <c r="F139" i="7"/>
  <c r="H139" i="7" s="1"/>
  <c r="F142" i="7"/>
  <c r="H142" i="7" s="1"/>
  <c r="F130" i="7"/>
  <c r="H130" i="7" s="1"/>
  <c r="F126" i="7"/>
  <c r="H126" i="7" s="1"/>
  <c r="F133" i="7"/>
  <c r="H133" i="7" s="1"/>
  <c r="F143" i="7"/>
  <c r="H143" i="7" s="1"/>
  <c r="F135" i="7"/>
  <c r="H135" i="7" s="1"/>
  <c r="H203" i="7"/>
  <c r="H202" i="7" s="1"/>
  <c r="H201" i="7"/>
  <c r="H200" i="7" s="1"/>
  <c r="H197" i="7"/>
  <c r="H196" i="7" s="1"/>
  <c r="I197" i="7"/>
  <c r="I196" i="7" s="1"/>
  <c r="I201" i="7"/>
  <c r="I200" i="7" s="1"/>
  <c r="H199" i="7"/>
  <c r="H198" i="7" s="1"/>
  <c r="H190" i="7"/>
  <c r="I198" i="7"/>
  <c r="H193" i="7"/>
  <c r="H192" i="7" s="1"/>
  <c r="I190" i="7"/>
  <c r="I195" i="7"/>
  <c r="I194" i="7" s="1"/>
  <c r="I203" i="7"/>
  <c r="I202" i="7" s="1"/>
  <c r="I193" i="7"/>
  <c r="I192" i="7" s="1"/>
  <c r="G199" i="7"/>
  <c r="G198" i="7" s="1"/>
  <c r="G193" i="7"/>
  <c r="G192" i="7" s="1"/>
  <c r="G190" i="7"/>
  <c r="G201" i="7"/>
  <c r="G200" i="7" s="1"/>
  <c r="G197" i="7"/>
  <c r="G196" i="7" s="1"/>
  <c r="G203" i="7"/>
  <c r="G202" i="7" s="1"/>
  <c r="G195" i="7"/>
  <c r="G194" i="7" s="1"/>
  <c r="F193" i="7"/>
  <c r="F192" i="7" s="1"/>
  <c r="F195" i="7"/>
  <c r="F194" i="7" s="1"/>
  <c r="F190" i="7"/>
  <c r="F203" i="7"/>
  <c r="F202" i="7" s="1"/>
  <c r="F201" i="7"/>
  <c r="F200" i="7" s="1"/>
  <c r="F199" i="7"/>
  <c r="F198" i="7" s="1"/>
  <c r="F197" i="7"/>
  <c r="F196" i="7" s="1"/>
  <c r="C20" i="2"/>
  <c r="N37" i="1"/>
  <c r="J280" i="11" l="1"/>
  <c r="F280" i="11"/>
  <c r="H280" i="11" s="1"/>
  <c r="D285" i="10"/>
  <c r="F285" i="10" s="1"/>
  <c r="J285" i="10" l="1"/>
  <c r="C280" i="11"/>
  <c r="B280" i="11" s="1"/>
  <c r="C285" i="10"/>
  <c r="B285" i="10" s="1"/>
  <c r="H285" i="10"/>
  <c r="K285" i="10"/>
  <c r="D281" i="11" l="1"/>
  <c r="K281" i="11" s="1"/>
  <c r="D286" i="10"/>
  <c r="F286" i="10" s="1"/>
  <c r="J281" i="11" l="1"/>
  <c r="J286" i="10"/>
  <c r="C286" i="10"/>
  <c r="B286" i="10" s="1"/>
  <c r="H286" i="10"/>
  <c r="F281" i="11"/>
  <c r="K286" i="10"/>
  <c r="H281" i="11" l="1"/>
  <c r="C281" i="11"/>
  <c r="D287" i="10"/>
  <c r="J287" i="10" s="1"/>
  <c r="B281" i="11" l="1"/>
  <c r="K287" i="10"/>
  <c r="F287" i="10"/>
  <c r="D282" i="11" l="1"/>
  <c r="J282" i="11" s="1"/>
  <c r="C287" i="10"/>
  <c r="B287" i="10" s="1"/>
  <c r="H287" i="10"/>
  <c r="F282" i="11" l="1"/>
  <c r="H282" i="11" s="1"/>
  <c r="K282" i="11"/>
  <c r="D288" i="10"/>
  <c r="F288" i="10" s="1"/>
  <c r="C282" i="11" l="1"/>
  <c r="B282" i="11" s="1"/>
  <c r="J288" i="10"/>
  <c r="R288" i="10" s="1"/>
  <c r="K288" i="10"/>
  <c r="S288" i="10" s="1"/>
  <c r="C288" i="10"/>
  <c r="H288" i="10"/>
  <c r="Q288" i="10" s="1"/>
  <c r="O288" i="10"/>
  <c r="M288" i="10"/>
  <c r="G119" i="7"/>
  <c r="P37" i="1"/>
  <c r="L288" i="10" l="1"/>
  <c r="B288" i="10"/>
  <c r="D283" i="11"/>
  <c r="K283" i="11" s="1"/>
  <c r="B22" i="2"/>
  <c r="J283" i="11" l="1"/>
  <c r="D289" i="10"/>
  <c r="J289" i="10" s="1"/>
  <c r="F283" i="11"/>
  <c r="S61" i="1"/>
  <c r="R61" i="1"/>
  <c r="F289" i="10" l="1"/>
  <c r="H289" i="10" s="1"/>
  <c r="K289" i="10"/>
  <c r="C283" i="11"/>
  <c r="B283" i="11" s="1"/>
  <c r="H283" i="11"/>
  <c r="O61" i="1"/>
  <c r="C289" i="10" l="1"/>
  <c r="D284" i="11"/>
  <c r="J284" i="11" s="1"/>
  <c r="B289" i="10"/>
  <c r="B23" i="2"/>
  <c r="F284" i="11" l="1"/>
  <c r="H284" i="11" s="1"/>
  <c r="K284" i="11"/>
  <c r="D290" i="10"/>
  <c r="J290" i="10" s="1"/>
  <c r="S73" i="1"/>
  <c r="C284" i="11" l="1"/>
  <c r="B284" i="11" s="1"/>
  <c r="D285" i="11" s="1"/>
  <c r="K285" i="11" s="1"/>
  <c r="F290" i="10"/>
  <c r="H290" i="10" s="1"/>
  <c r="K290" i="10"/>
  <c r="B24" i="2"/>
  <c r="C290" i="10" l="1"/>
  <c r="F285" i="11"/>
  <c r="B290" i="10"/>
  <c r="J285" i="11"/>
  <c r="O73" i="1"/>
  <c r="D291" i="10" l="1"/>
  <c r="F291" i="10" s="1"/>
  <c r="H285" i="11"/>
  <c r="C285" i="11"/>
  <c r="B285" i="11" s="1"/>
  <c r="S85" i="1"/>
  <c r="R85" i="1"/>
  <c r="K291" i="10" l="1"/>
  <c r="D286" i="11"/>
  <c r="F286" i="11" s="1"/>
  <c r="J291" i="10"/>
  <c r="H291" i="10"/>
  <c r="C291" i="10"/>
  <c r="O85" i="1"/>
  <c r="K286" i="11" l="1"/>
  <c r="C286" i="11"/>
  <c r="B286" i="11" s="1"/>
  <c r="H286" i="11"/>
  <c r="B291" i="10"/>
  <c r="J286" i="11"/>
  <c r="B25" i="2"/>
  <c r="D292" i="10" l="1"/>
  <c r="K292" i="10" s="1"/>
  <c r="D287" i="11"/>
  <c r="F287" i="11" s="1"/>
  <c r="S97" i="1"/>
  <c r="J287" i="11" l="1"/>
  <c r="F292" i="10"/>
  <c r="C292" i="10" s="1"/>
  <c r="J292" i="10"/>
  <c r="K287" i="11"/>
  <c r="H287" i="11"/>
  <c r="C287" i="11"/>
  <c r="B287" i="11" s="1"/>
  <c r="R97" i="1"/>
  <c r="H292" i="10" l="1"/>
  <c r="D288" i="11"/>
  <c r="F288" i="11" s="1"/>
  <c r="B292" i="10"/>
  <c r="O97" i="1"/>
  <c r="K288" i="11" l="1"/>
  <c r="C288" i="11"/>
  <c r="B288" i="11" s="1"/>
  <c r="H288" i="11"/>
  <c r="D293" i="10"/>
  <c r="K293" i="10" s="1"/>
  <c r="J288" i="11"/>
  <c r="B26" i="2"/>
  <c r="J293" i="10" l="1"/>
  <c r="F293" i="10"/>
  <c r="C293" i="10" s="1"/>
  <c r="D289" i="11"/>
  <c r="J289" i="11" s="1"/>
  <c r="R289" i="11" s="1"/>
  <c r="R109" i="1"/>
  <c r="S109" i="1"/>
  <c r="H293" i="10" l="1"/>
  <c r="K289" i="11"/>
  <c r="S289" i="11" s="1"/>
  <c r="I146" i="7" s="1"/>
  <c r="F289" i="11"/>
  <c r="C289" i="11" s="1"/>
  <c r="M289" i="11"/>
  <c r="E146" i="7" s="1"/>
  <c r="B293" i="10"/>
  <c r="O109" i="1"/>
  <c r="O289" i="11" l="1"/>
  <c r="H289" i="11"/>
  <c r="Q289" i="11" s="1"/>
  <c r="D294" i="10"/>
  <c r="J294" i="10" s="1"/>
  <c r="L289" i="11"/>
  <c r="D146" i="7" s="1"/>
  <c r="F146" i="7" s="1"/>
  <c r="H146" i="7" s="1"/>
  <c r="B289" i="11"/>
  <c r="B27" i="2"/>
  <c r="K294" i="10" l="1"/>
  <c r="F294" i="10"/>
  <c r="C294" i="10" s="1"/>
  <c r="B294" i="10" s="1"/>
  <c r="D290" i="11"/>
  <c r="J290" i="11" s="1"/>
  <c r="C146" i="7"/>
  <c r="S121" i="1"/>
  <c r="R121" i="1"/>
  <c r="K290" i="11" l="1"/>
  <c r="H294" i="10"/>
  <c r="F290" i="11"/>
  <c r="D295" i="10"/>
  <c r="K295" i="10" s="1"/>
  <c r="O121" i="1"/>
  <c r="B28" i="2"/>
  <c r="F295" i="10" l="1"/>
  <c r="H295" i="10" s="1"/>
  <c r="J295" i="10"/>
  <c r="C290" i="11"/>
  <c r="H290" i="11"/>
  <c r="S133" i="1"/>
  <c r="C295" i="10" l="1"/>
  <c r="B295" i="10" s="1"/>
  <c r="D296" i="10" s="1"/>
  <c r="J296" i="10" s="1"/>
  <c r="B290" i="11"/>
  <c r="R133" i="1"/>
  <c r="O133" i="1"/>
  <c r="K296" i="10" l="1"/>
  <c r="D291" i="11"/>
  <c r="K291" i="11" s="1"/>
  <c r="F296" i="10"/>
  <c r="B29" i="2"/>
  <c r="J291" i="11" l="1"/>
  <c r="F291" i="11"/>
  <c r="H291" i="11" s="1"/>
  <c r="C296" i="10"/>
  <c r="B296" i="10" s="1"/>
  <c r="H296" i="10"/>
  <c r="C291" i="11" l="1"/>
  <c r="B291" i="11" s="1"/>
  <c r="D297" i="10"/>
  <c r="K297" i="10" s="1"/>
  <c r="F297" i="10" l="1"/>
  <c r="C297" i="10" s="1"/>
  <c r="B297" i="10" s="1"/>
  <c r="J297" i="10"/>
  <c r="D292" i="11"/>
  <c r="F292" i="11" s="1"/>
  <c r="H297" i="10" l="1"/>
  <c r="J292" i="11"/>
  <c r="H292" i="11"/>
  <c r="C292" i="11"/>
  <c r="D298" i="10"/>
  <c r="K298" i="10" s="1"/>
  <c r="K292" i="11"/>
  <c r="J298" i="10" l="1"/>
  <c r="F298" i="10"/>
  <c r="C298" i="10" s="1"/>
  <c r="B298" i="10" s="1"/>
  <c r="B292" i="11"/>
  <c r="H298" i="10" l="1"/>
  <c r="D293" i="11"/>
  <c r="K293" i="11" s="1"/>
  <c r="D299" i="10"/>
  <c r="J299" i="10" s="1"/>
  <c r="F293" i="11" l="1"/>
  <c r="H293" i="11" s="1"/>
  <c r="J293" i="11"/>
  <c r="K299" i="10"/>
  <c r="F299" i="10"/>
  <c r="H299" i="10" s="1"/>
  <c r="C293" i="11" l="1"/>
  <c r="B293" i="11" s="1"/>
  <c r="C299" i="10"/>
  <c r="B299" i="10" s="1"/>
  <c r="D300" i="10" s="1"/>
  <c r="M300" i="10" s="1"/>
  <c r="F300" i="10" l="1"/>
  <c r="H300" i="10" s="1"/>
  <c r="Q300" i="10" s="1"/>
  <c r="J300" i="10"/>
  <c r="R300" i="10" s="1"/>
  <c r="D294" i="11"/>
  <c r="J294" i="11" s="1"/>
  <c r="K300" i="10"/>
  <c r="S300" i="10" s="1"/>
  <c r="O300" i="10" l="1"/>
  <c r="C300" i="10"/>
  <c r="K294" i="11"/>
  <c r="F294" i="11"/>
  <c r="L300" i="10"/>
  <c r="B300" i="10"/>
  <c r="D301" i="10" l="1"/>
  <c r="K301" i="10" s="1"/>
  <c r="H294" i="11"/>
  <c r="C294" i="11"/>
  <c r="F301" i="10" l="1"/>
  <c r="H301" i="10" s="1"/>
  <c r="J301" i="10"/>
  <c r="B294" i="11"/>
  <c r="C301" i="10" l="1"/>
  <c r="D295" i="11"/>
  <c r="J295" i="11" s="1"/>
  <c r="B301" i="10"/>
  <c r="K295" i="11" l="1"/>
  <c r="F295" i="11"/>
  <c r="H295" i="11" s="1"/>
  <c r="D302" i="10"/>
  <c r="J302" i="10" s="1"/>
  <c r="K302" i="10" l="1"/>
  <c r="C295" i="11"/>
  <c r="B295" i="11" s="1"/>
  <c r="D296" i="11" s="1"/>
  <c r="J296" i="11" s="1"/>
  <c r="F302" i="10"/>
  <c r="C302" i="10" s="1"/>
  <c r="F296" i="11" l="1"/>
  <c r="C296" i="11" s="1"/>
  <c r="B296" i="11" s="1"/>
  <c r="H302" i="10"/>
  <c r="K296" i="11"/>
  <c r="B302" i="10"/>
  <c r="H296" i="11" l="1"/>
  <c r="D297" i="11"/>
  <c r="J297" i="11" s="1"/>
  <c r="D303" i="10"/>
  <c r="K303" i="10" s="1"/>
  <c r="K297" i="11" l="1"/>
  <c r="F297" i="11"/>
  <c r="H297" i="11" s="1"/>
  <c r="J303" i="10"/>
  <c r="F303" i="10"/>
  <c r="C297" i="11" l="1"/>
  <c r="B297" i="11" s="1"/>
  <c r="D298" i="11" s="1"/>
  <c r="J298" i="11" s="1"/>
  <c r="H303" i="10"/>
  <c r="C303" i="10"/>
  <c r="K298" i="11" l="1"/>
  <c r="B303" i="10"/>
  <c r="F298" i="11"/>
  <c r="H298" i="11" l="1"/>
  <c r="C298" i="11"/>
  <c r="B298" i="11" s="1"/>
  <c r="D304" i="10"/>
  <c r="K304" i="10" s="1"/>
  <c r="J304" i="10" l="1"/>
  <c r="F304" i="10"/>
  <c r="C304" i="10" s="1"/>
  <c r="D299" i="11"/>
  <c r="J299" i="11" s="1"/>
  <c r="H304" i="10" l="1"/>
  <c r="F299" i="11"/>
  <c r="K299" i="11"/>
  <c r="B304" i="10"/>
  <c r="D305" i="10" l="1"/>
  <c r="K305" i="10" s="1"/>
  <c r="H299" i="11"/>
  <c r="C299" i="11"/>
  <c r="B299" i="11" s="1"/>
  <c r="F305" i="10" l="1"/>
  <c r="H305" i="10" s="1"/>
  <c r="D300" i="11"/>
  <c r="J300" i="11" s="1"/>
  <c r="J305" i="10"/>
  <c r="C305" i="10" l="1"/>
  <c r="K300" i="11"/>
  <c r="B305" i="10"/>
  <c r="F300" i="11"/>
  <c r="D306" i="10" l="1"/>
  <c r="K306" i="10" s="1"/>
  <c r="H300" i="11"/>
  <c r="C300" i="11"/>
  <c r="B300" i="11" s="1"/>
  <c r="F306" i="10" l="1"/>
  <c r="D301" i="11"/>
  <c r="M301" i="11" s="1"/>
  <c r="E147" i="7" s="1"/>
  <c r="J306" i="10"/>
  <c r="F301" i="11" l="1"/>
  <c r="C301" i="11" s="1"/>
  <c r="J301" i="11"/>
  <c r="R301" i="11" s="1"/>
  <c r="K301" i="11"/>
  <c r="S301" i="11" s="1"/>
  <c r="I147" i="7" s="1"/>
  <c r="C306" i="10"/>
  <c r="B306" i="10" s="1"/>
  <c r="H306" i="10"/>
  <c r="O301" i="11" l="1"/>
  <c r="H301" i="11"/>
  <c r="Q301" i="11" s="1"/>
  <c r="D307" i="10"/>
  <c r="J307" i="10" s="1"/>
  <c r="L301" i="11"/>
  <c r="D147" i="7" s="1"/>
  <c r="F147" i="7" s="1"/>
  <c r="H147" i="7" s="1"/>
  <c r="B301" i="11"/>
  <c r="D302" i="11" l="1"/>
  <c r="F302" i="11" s="1"/>
  <c r="C147" i="7"/>
  <c r="K307" i="10"/>
  <c r="F307" i="10"/>
  <c r="J302" i="11" l="1"/>
  <c r="K302" i="11"/>
  <c r="C302" i="11"/>
  <c r="H302" i="11"/>
  <c r="H307" i="10"/>
  <c r="C307" i="10"/>
  <c r="B307" i="10" s="1"/>
  <c r="D308" i="10" l="1"/>
  <c r="K308" i="10" s="1"/>
  <c r="F308" i="10"/>
  <c r="B302" i="11"/>
  <c r="J308" i="10" l="1"/>
  <c r="C308" i="10"/>
  <c r="B308" i="10" s="1"/>
  <c r="H308" i="10"/>
  <c r="D303" i="11"/>
  <c r="K303" i="11" s="1"/>
  <c r="J303" i="11" l="1"/>
  <c r="F303" i="11"/>
  <c r="D309" i="10"/>
  <c r="F309" i="10" s="1"/>
  <c r="K309" i="10" l="1"/>
  <c r="J309" i="10"/>
  <c r="C309" i="10"/>
  <c r="B309" i="10" s="1"/>
  <c r="H309" i="10"/>
  <c r="H303" i="11"/>
  <c r="C303" i="11"/>
  <c r="D310" i="10" l="1"/>
  <c r="K310" i="10" s="1"/>
  <c r="B303" i="11"/>
  <c r="F310" i="10" l="1"/>
  <c r="D304" i="11"/>
  <c r="F304" i="11" s="1"/>
  <c r="J310" i="10"/>
  <c r="H304" i="11" l="1"/>
  <c r="C304" i="11"/>
  <c r="C310" i="10"/>
  <c r="B310" i="10" s="1"/>
  <c r="H310" i="10"/>
  <c r="K304" i="11"/>
  <c r="J304" i="11"/>
  <c r="D311" i="10" l="1"/>
  <c r="K311" i="10" s="1"/>
  <c r="B304" i="11"/>
  <c r="J311" i="10" l="1"/>
  <c r="F311" i="10"/>
  <c r="D305" i="11"/>
  <c r="K305" i="11" s="1"/>
  <c r="H311" i="10" l="1"/>
  <c r="C311" i="10"/>
  <c r="B311" i="10" s="1"/>
  <c r="J305" i="11"/>
  <c r="F305" i="11"/>
  <c r="D312" i="10" l="1"/>
  <c r="M312" i="10" s="1"/>
  <c r="C305" i="11"/>
  <c r="H305" i="11"/>
  <c r="F312" i="10" l="1"/>
  <c r="O312" i="10" s="1"/>
  <c r="K312" i="10"/>
  <c r="S312" i="10" s="1"/>
  <c r="J312" i="10"/>
  <c r="R312" i="10" s="1"/>
  <c r="B305" i="11"/>
  <c r="C312" i="10" l="1"/>
  <c r="L312" i="10" s="1"/>
  <c r="H312" i="10"/>
  <c r="Q312" i="10" s="1"/>
  <c r="D306" i="11"/>
  <c r="J306" i="11" s="1"/>
  <c r="F306" i="11" l="1"/>
  <c r="H306" i="11" s="1"/>
  <c r="B312" i="10"/>
  <c r="D313" i="10" s="1"/>
  <c r="K306" i="11"/>
  <c r="C306" i="11" l="1"/>
  <c r="B306" i="11" s="1"/>
  <c r="K313" i="10"/>
  <c r="J313" i="10"/>
  <c r="F313" i="10"/>
  <c r="H313" i="10" l="1"/>
  <c r="C313" i="10"/>
  <c r="D307" i="11"/>
  <c r="K307" i="11" s="1"/>
  <c r="J307" i="11" l="1"/>
  <c r="B313" i="10"/>
  <c r="F307" i="11"/>
  <c r="C307" i="11" l="1"/>
  <c r="B307" i="11" s="1"/>
  <c r="H307" i="11"/>
  <c r="D314" i="10"/>
  <c r="F314" i="10" l="1"/>
  <c r="K314" i="10"/>
  <c r="J314" i="10"/>
  <c r="D308" i="11"/>
  <c r="J308" i="11" s="1"/>
  <c r="K308" i="11" l="1"/>
  <c r="F308" i="11"/>
  <c r="C314" i="10"/>
  <c r="H314" i="10"/>
  <c r="B314" i="10" l="1"/>
  <c r="H308" i="11"/>
  <c r="C308" i="11"/>
  <c r="B308" i="11" s="1"/>
  <c r="D315" i="10" l="1"/>
  <c r="J315" i="10" s="1"/>
  <c r="D309" i="11"/>
  <c r="K309" i="11" s="1"/>
  <c r="K315" i="10" l="1"/>
  <c r="J309" i="11"/>
  <c r="F309" i="11"/>
  <c r="C309" i="11" s="1"/>
  <c r="B309" i="11" s="1"/>
  <c r="F315" i="10"/>
  <c r="H309" i="11" l="1"/>
  <c r="H315" i="10"/>
  <c r="C315" i="10"/>
  <c r="D310" i="11"/>
  <c r="J310" i="11" s="1"/>
  <c r="K310" i="11" l="1"/>
  <c r="B315" i="10"/>
  <c r="F310" i="11"/>
  <c r="H310" i="11" l="1"/>
  <c r="C310" i="11"/>
  <c r="B310" i="11" s="1"/>
  <c r="D316" i="10"/>
  <c r="K316" i="10" l="1"/>
  <c r="D311" i="11"/>
  <c r="K311" i="11" s="1"/>
  <c r="F316" i="10"/>
  <c r="J316" i="10"/>
  <c r="F311" i="11" l="1"/>
  <c r="C311" i="11" s="1"/>
  <c r="B311" i="11" s="1"/>
  <c r="J311" i="11"/>
  <c r="C316" i="10"/>
  <c r="H316" i="10"/>
  <c r="H311" i="11" l="1"/>
  <c r="D312" i="11"/>
  <c r="J312" i="11" s="1"/>
  <c r="B316" i="10"/>
  <c r="F312" i="11" l="1"/>
  <c r="D317" i="10"/>
  <c r="K317" i="10" s="1"/>
  <c r="K312" i="11"/>
  <c r="J317" i="10" l="1"/>
  <c r="F317" i="10"/>
  <c r="H312" i="11"/>
  <c r="C312" i="11"/>
  <c r="B312" i="11" s="1"/>
  <c r="D313" i="11" l="1"/>
  <c r="M313" i="11" s="1"/>
  <c r="E148" i="7" s="1"/>
  <c r="H317" i="10"/>
  <c r="C317" i="10"/>
  <c r="F313" i="11" l="1"/>
  <c r="H313" i="11" s="1"/>
  <c r="Q313" i="11" s="1"/>
  <c r="J313" i="11"/>
  <c r="R313" i="11" s="1"/>
  <c r="B317" i="10"/>
  <c r="K313" i="11"/>
  <c r="S313" i="11" s="1"/>
  <c r="I148" i="7" s="1"/>
  <c r="O313" i="11" l="1"/>
  <c r="C313" i="11"/>
  <c r="B313" i="11" s="1"/>
  <c r="D318" i="10"/>
  <c r="K318" i="10" s="1"/>
  <c r="L313" i="11" l="1"/>
  <c r="D148" i="7" s="1"/>
  <c r="F148" i="7" s="1"/>
  <c r="H148" i="7" s="1"/>
  <c r="J318" i="10"/>
  <c r="F318" i="10"/>
  <c r="C318" i="10" s="1"/>
  <c r="B318" i="10" s="1"/>
  <c r="D314" i="11"/>
  <c r="K314" i="11" s="1"/>
  <c r="C148" i="7"/>
  <c r="F314" i="11" l="1"/>
  <c r="C314" i="11" s="1"/>
  <c r="J314" i="11"/>
  <c r="H318" i="10"/>
  <c r="D319" i="10"/>
  <c r="F319" i="10" s="1"/>
  <c r="H314" i="11" l="1"/>
  <c r="J319" i="10"/>
  <c r="H319" i="10"/>
  <c r="C319" i="10"/>
  <c r="B319" i="10" s="1"/>
  <c r="K319" i="10"/>
  <c r="B314" i="11"/>
  <c r="D315" i="11" l="1"/>
  <c r="F315" i="11" s="1"/>
  <c r="D320" i="10"/>
  <c r="K320" i="10" s="1"/>
  <c r="H315" i="11" l="1"/>
  <c r="C315" i="11"/>
  <c r="J320" i="10"/>
  <c r="F320" i="10"/>
  <c r="J315" i="11"/>
  <c r="K315" i="11"/>
  <c r="B315" i="11" l="1"/>
  <c r="H320" i="10"/>
  <c r="C320" i="10"/>
  <c r="B320" i="10" s="1"/>
  <c r="D321" i="10" l="1"/>
  <c r="K321" i="10" s="1"/>
  <c r="D316" i="11"/>
  <c r="J316" i="11" s="1"/>
  <c r="R73" i="1"/>
  <c r="J26" i="1"/>
  <c r="K26" i="1"/>
  <c r="F26" i="1"/>
  <c r="K316" i="11" l="1"/>
  <c r="F316" i="11"/>
  <c r="J321" i="10"/>
  <c r="F321" i="10"/>
  <c r="H26" i="1"/>
  <c r="C26" i="1"/>
  <c r="B20" i="2"/>
  <c r="D20" i="3"/>
  <c r="H321" i="10" l="1"/>
  <c r="C321" i="10"/>
  <c r="B321" i="10" s="1"/>
  <c r="H316" i="11"/>
  <c r="C316" i="11"/>
  <c r="B26" i="1"/>
  <c r="B45" i="7"/>
  <c r="D20" i="2"/>
  <c r="D22" i="3"/>
  <c r="I26" i="1"/>
  <c r="B316" i="11" l="1"/>
  <c r="D322" i="10"/>
  <c r="K322" i="10" s="1"/>
  <c r="D27" i="1"/>
  <c r="J322" i="10" l="1"/>
  <c r="F322" i="10"/>
  <c r="H322" i="10" s="1"/>
  <c r="D317" i="11"/>
  <c r="J317" i="11" s="1"/>
  <c r="K27" i="1"/>
  <c r="J27" i="1"/>
  <c r="F27" i="1"/>
  <c r="C322" i="10" l="1"/>
  <c r="B322" i="10" s="1"/>
  <c r="D323" i="10"/>
  <c r="J323" i="10" s="1"/>
  <c r="F317" i="11"/>
  <c r="K317" i="11"/>
  <c r="C27" i="1"/>
  <c r="H27" i="1"/>
  <c r="I27" i="1" s="1"/>
  <c r="K323" i="10" l="1"/>
  <c r="F323" i="10"/>
  <c r="H323" i="10" s="1"/>
  <c r="H317" i="11"/>
  <c r="C317" i="11"/>
  <c r="B27" i="1"/>
  <c r="C323" i="10" l="1"/>
  <c r="B323" i="10" s="1"/>
  <c r="D324" i="10" s="1"/>
  <c r="F324" i="10" s="1"/>
  <c r="B317" i="11"/>
  <c r="D28" i="1"/>
  <c r="J28" i="1" s="1"/>
  <c r="F28" i="1" l="1"/>
  <c r="C28" i="1" s="1"/>
  <c r="K28" i="1"/>
  <c r="K324" i="10"/>
  <c r="S324" i="10" s="1"/>
  <c r="L15" i="10"/>
  <c r="K15" i="10" s="1"/>
  <c r="K325" i="10"/>
  <c r="J324" i="10"/>
  <c r="D325" i="10"/>
  <c r="M324" i="10"/>
  <c r="D318" i="11"/>
  <c r="J318" i="11" s="1"/>
  <c r="H324" i="10"/>
  <c r="C324" i="10"/>
  <c r="F325" i="10"/>
  <c r="O324" i="10"/>
  <c r="H28" i="1" l="1"/>
  <c r="C325" i="10"/>
  <c r="K318" i="11"/>
  <c r="F318" i="11"/>
  <c r="C318" i="11" s="1"/>
  <c r="L324" i="10"/>
  <c r="B324" i="10"/>
  <c r="J325" i="10"/>
  <c r="L14" i="10"/>
  <c r="K14" i="10" s="1"/>
  <c r="R324" i="10"/>
  <c r="Q324" i="10"/>
  <c r="H325" i="10"/>
  <c r="I28" i="1"/>
  <c r="B28" i="1"/>
  <c r="H318" i="11" l="1"/>
  <c r="B318" i="11"/>
  <c r="D29" i="1"/>
  <c r="J29" i="1" s="1"/>
  <c r="K29" i="1" l="1"/>
  <c r="D319" i="11"/>
  <c r="K319" i="11" s="1"/>
  <c r="F29" i="1"/>
  <c r="H29" i="1" s="1"/>
  <c r="J319" i="11" l="1"/>
  <c r="F319" i="11"/>
  <c r="C29" i="1"/>
  <c r="B29" i="1" s="1"/>
  <c r="I29" i="1"/>
  <c r="C319" i="11" l="1"/>
  <c r="B319" i="11" s="1"/>
  <c r="H319" i="11"/>
  <c r="D30" i="1"/>
  <c r="K30" i="1" s="1"/>
  <c r="J30" i="1" l="1"/>
  <c r="F30" i="1"/>
  <c r="H30" i="1" s="1"/>
  <c r="D320" i="11"/>
  <c r="J320" i="11" s="1"/>
  <c r="C30" i="1" l="1"/>
  <c r="B30" i="1" s="1"/>
  <c r="F320" i="11"/>
  <c r="C320" i="11" s="1"/>
  <c r="B320" i="11" s="1"/>
  <c r="K320" i="11"/>
  <c r="I30" i="1"/>
  <c r="H320" i="11" l="1"/>
  <c r="D321" i="11"/>
  <c r="K321" i="11" s="1"/>
  <c r="D31" i="1"/>
  <c r="J31" i="1" s="1"/>
  <c r="F31" i="1" l="1"/>
  <c r="H31" i="1" s="1"/>
  <c r="K31" i="1"/>
  <c r="F321" i="11"/>
  <c r="H321" i="11" s="1"/>
  <c r="J321" i="11"/>
  <c r="C31" i="1" l="1"/>
  <c r="B31" i="1" s="1"/>
  <c r="C321" i="11"/>
  <c r="B321" i="11" s="1"/>
  <c r="D322" i="11" s="1"/>
  <c r="I31" i="1"/>
  <c r="J322" i="11" l="1"/>
  <c r="F322" i="11"/>
  <c r="H322" i="11" s="1"/>
  <c r="K322" i="11"/>
  <c r="D32" i="1"/>
  <c r="J32" i="1" s="1"/>
  <c r="C322" i="11" l="1"/>
  <c r="B322" i="11" s="1"/>
  <c r="D323" i="11" s="1"/>
  <c r="J323" i="11" s="1"/>
  <c r="K32" i="1"/>
  <c r="F32" i="1"/>
  <c r="C32" i="1" s="1"/>
  <c r="K323" i="11" l="1"/>
  <c r="F323" i="11"/>
  <c r="H32" i="1"/>
  <c r="I32" i="1" s="1"/>
  <c r="B32" i="1"/>
  <c r="H323" i="11" l="1"/>
  <c r="C323" i="11"/>
  <c r="B323" i="11" s="1"/>
  <c r="D33" i="1"/>
  <c r="J33" i="1" s="1"/>
  <c r="F33" i="1" l="1"/>
  <c r="H33" i="1" s="1"/>
  <c r="D324" i="11"/>
  <c r="J324" i="11" s="1"/>
  <c r="K33" i="1"/>
  <c r="C33" i="1" l="1"/>
  <c r="B33" i="1" s="1"/>
  <c r="K324" i="11"/>
  <c r="F324" i="11"/>
  <c r="C324" i="11" s="1"/>
  <c r="B324" i="11" s="1"/>
  <c r="I33" i="1"/>
  <c r="H324" i="11" l="1"/>
  <c r="D325" i="11"/>
  <c r="J325" i="11" s="1"/>
  <c r="D34" i="1"/>
  <c r="J34" i="1" s="1"/>
  <c r="F34" i="1" l="1"/>
  <c r="H34" i="1" s="1"/>
  <c r="F325" i="11"/>
  <c r="H325" i="11" s="1"/>
  <c r="K325" i="11"/>
  <c r="J326" i="11"/>
  <c r="L14" i="11"/>
  <c r="K14" i="11" s="1"/>
  <c r="R325" i="11"/>
  <c r="C325" i="11"/>
  <c r="F326" i="11"/>
  <c r="O325" i="11"/>
  <c r="K326" i="11"/>
  <c r="L15" i="11"/>
  <c r="K15" i="11" s="1"/>
  <c r="S325" i="11"/>
  <c r="I149" i="7" s="1"/>
  <c r="D326" i="11"/>
  <c r="C22" i="11" s="1"/>
  <c r="C21" i="11" s="1"/>
  <c r="M325" i="11"/>
  <c r="E149" i="7" s="1"/>
  <c r="K34" i="1"/>
  <c r="C34" i="1"/>
  <c r="C326" i="11" l="1"/>
  <c r="H326" i="11"/>
  <c r="Q325" i="11"/>
  <c r="L325" i="11"/>
  <c r="D149" i="7" s="1"/>
  <c r="F149" i="7" s="1"/>
  <c r="H149" i="7" s="1"/>
  <c r="B325" i="11"/>
  <c r="C149" i="7" s="1"/>
  <c r="B34" i="1"/>
  <c r="I34" i="1"/>
  <c r="D35" i="1" l="1"/>
  <c r="J35" i="1" s="1"/>
  <c r="K35" i="1" l="1"/>
  <c r="F35" i="1"/>
  <c r="H35" i="1" s="1"/>
  <c r="C35" i="1" l="1"/>
  <c r="B35" i="1" s="1"/>
  <c r="I35" i="1"/>
  <c r="D36" i="1" l="1"/>
  <c r="J36" i="1" s="1"/>
  <c r="F36" i="1"/>
  <c r="K36" i="1" l="1"/>
  <c r="C36" i="1"/>
  <c r="H36" i="1"/>
  <c r="I36" i="1" l="1"/>
  <c r="B36" i="1"/>
  <c r="D37" i="1" l="1"/>
  <c r="M37" i="1" s="1"/>
  <c r="E119" i="7"/>
  <c r="J37" i="1" l="1"/>
  <c r="R37" i="1" s="1"/>
  <c r="F37" i="1"/>
  <c r="O37" i="1" s="1"/>
  <c r="K37" i="1"/>
  <c r="S37" i="1" s="1"/>
  <c r="I119" i="7"/>
  <c r="F119" i="7"/>
  <c r="C37" i="1" l="1"/>
  <c r="L37" i="1" s="1"/>
  <c r="H37" i="1"/>
  <c r="Q37" i="1" s="1"/>
  <c r="H119" i="7"/>
  <c r="D119" i="7"/>
  <c r="B37" i="1" l="1"/>
  <c r="D38" i="1" s="1"/>
  <c r="K38" i="1" s="1"/>
  <c r="I37" i="1"/>
  <c r="F38" i="1" l="1"/>
  <c r="B21" i="2" s="1"/>
  <c r="J38" i="1"/>
  <c r="N49" i="1"/>
  <c r="C21" i="2"/>
  <c r="H38" i="1" l="1"/>
  <c r="D21" i="2" s="1"/>
  <c r="C38" i="1"/>
  <c r="B38" i="1" s="1"/>
  <c r="D39" i="1" s="1"/>
  <c r="I38" i="1" l="1"/>
  <c r="J39" i="1"/>
  <c r="K39" i="1"/>
  <c r="F39" i="1"/>
  <c r="E20" i="2"/>
  <c r="H39" i="1" l="1"/>
  <c r="I39" i="1" s="1"/>
  <c r="C39" i="1"/>
  <c r="B39" i="1" l="1"/>
  <c r="D40" i="1" s="1"/>
  <c r="F40" i="1" l="1"/>
  <c r="J40" i="1"/>
  <c r="K40" i="1"/>
  <c r="H40" i="1" l="1"/>
  <c r="I40" i="1" s="1"/>
  <c r="C40" i="1"/>
  <c r="B40" i="1" l="1"/>
  <c r="D41" i="1" s="1"/>
  <c r="J41" i="1" l="1"/>
  <c r="K41" i="1"/>
  <c r="F41" i="1"/>
  <c r="H41" i="1" l="1"/>
  <c r="I41" i="1" s="1"/>
  <c r="C41" i="1"/>
  <c r="B41" i="1" l="1"/>
  <c r="D42" i="1" s="1"/>
  <c r="F42" i="1" l="1"/>
  <c r="K42" i="1"/>
  <c r="J42" i="1"/>
  <c r="P49" i="1"/>
  <c r="H42" i="1" l="1"/>
  <c r="I42" i="1" s="1"/>
  <c r="C42" i="1"/>
  <c r="B42" i="1" l="1"/>
  <c r="D43" i="1" s="1"/>
  <c r="F43" i="1" l="1"/>
  <c r="H43" i="1" s="1"/>
  <c r="J43" i="1"/>
  <c r="K43" i="1"/>
  <c r="C43" i="1" l="1"/>
  <c r="B43" i="1" s="1"/>
  <c r="D44" i="1" s="1"/>
  <c r="F44" i="1" s="1"/>
  <c r="I43" i="1"/>
  <c r="H44" i="1" l="1"/>
  <c r="I44" i="1" s="1"/>
  <c r="G9" i="1"/>
  <c r="B99" i="7" s="1"/>
  <c r="K44" i="1"/>
  <c r="J44" i="1"/>
  <c r="C44" i="1"/>
  <c r="B44" i="1" s="1"/>
  <c r="D45" i="1" s="1"/>
  <c r="G11" i="1" l="1"/>
  <c r="G13" i="1"/>
  <c r="G12" i="1"/>
  <c r="J45" i="1"/>
  <c r="K45" i="1"/>
  <c r="F45" i="1"/>
  <c r="H45" i="1" l="1"/>
  <c r="C45" i="1"/>
  <c r="B45" i="1" s="1"/>
  <c r="D46" i="1" s="1"/>
  <c r="F46" i="1" l="1"/>
  <c r="K46" i="1"/>
  <c r="J46" i="1"/>
  <c r="I45" i="1"/>
  <c r="H46" i="1" l="1"/>
  <c r="C46" i="1"/>
  <c r="B46" i="1" s="1"/>
  <c r="D47" i="1" s="1"/>
  <c r="F47" i="1" l="1"/>
  <c r="J47" i="1"/>
  <c r="K47" i="1"/>
  <c r="I46" i="1"/>
  <c r="H47" i="1" l="1"/>
  <c r="I47" i="1" s="1"/>
  <c r="C47" i="1"/>
  <c r="B47" i="1" l="1"/>
  <c r="D48" i="1" s="1"/>
  <c r="C22" i="2"/>
  <c r="H50" i="1"/>
  <c r="J48" i="1" l="1"/>
  <c r="F48" i="1"/>
  <c r="K48" i="1"/>
  <c r="H51" i="1"/>
  <c r="I51" i="1" s="1"/>
  <c r="I50" i="1"/>
  <c r="D22" i="2"/>
  <c r="H48" i="1" l="1"/>
  <c r="I48" i="1" s="1"/>
  <c r="C48" i="1"/>
  <c r="H52" i="1"/>
  <c r="B48" i="1" l="1"/>
  <c r="H53" i="1"/>
  <c r="I53" i="1" s="1"/>
  <c r="I52" i="1"/>
  <c r="D49" i="1" l="1"/>
  <c r="H54" i="1"/>
  <c r="J49" i="1" l="1"/>
  <c r="R49" i="1" s="1"/>
  <c r="K49" i="1"/>
  <c r="S49" i="1" s="1"/>
  <c r="F49" i="1"/>
  <c r="M49" i="1"/>
  <c r="H55" i="1"/>
  <c r="I55" i="1" s="1"/>
  <c r="I54" i="1"/>
  <c r="H49" i="1" l="1"/>
  <c r="O49" i="1"/>
  <c r="C49" i="1"/>
  <c r="H56" i="1"/>
  <c r="I56" i="1" s="1"/>
  <c r="L49" i="1" l="1"/>
  <c r="B49" i="1"/>
  <c r="I49" i="1"/>
  <c r="Q49" i="1"/>
  <c r="H57" i="1"/>
  <c r="D50" i="1" l="1"/>
  <c r="C50" i="1" s="1"/>
  <c r="B50" i="1" s="1"/>
  <c r="I57" i="1"/>
  <c r="H58" i="1"/>
  <c r="I58" i="1" s="1"/>
  <c r="N61" i="1" l="1"/>
  <c r="D51" i="1"/>
  <c r="C51" i="1" s="1"/>
  <c r="B51" i="1" s="1"/>
  <c r="E21" i="2"/>
  <c r="H59" i="1"/>
  <c r="I59" i="1" s="1"/>
  <c r="D52" i="1" l="1"/>
  <c r="C52" i="1" s="1"/>
  <c r="B52" i="1" s="1"/>
  <c r="H60" i="1"/>
  <c r="I60" i="1" s="1"/>
  <c r="D53" i="1" l="1"/>
  <c r="C53" i="1" s="1"/>
  <c r="B53" i="1" s="1"/>
  <c r="D54" i="1" s="1"/>
  <c r="H61" i="1"/>
  <c r="P61" i="1"/>
  <c r="I61" i="1" l="1"/>
  <c r="Q61" i="1"/>
  <c r="C54" i="1"/>
  <c r="B54" i="1" l="1"/>
  <c r="D55" i="1" s="1"/>
  <c r="C55" i="1" l="1"/>
  <c r="B55" i="1" s="1"/>
  <c r="D56" i="1" s="1"/>
  <c r="C56" i="1" l="1"/>
  <c r="B56" i="1" s="1"/>
  <c r="D57" i="1" s="1"/>
  <c r="C57" i="1" l="1"/>
  <c r="B57" i="1" s="1"/>
  <c r="D58" i="1" s="1"/>
  <c r="C58" i="1" l="1"/>
  <c r="B58" i="1" s="1"/>
  <c r="D59" i="1" s="1"/>
  <c r="C59" i="1" l="1"/>
  <c r="B59" i="1" s="1"/>
  <c r="D60" i="1" s="1"/>
  <c r="C60" i="1" l="1"/>
  <c r="B60" i="1" s="1"/>
  <c r="D61" i="1" s="1"/>
  <c r="C61" i="1" l="1"/>
  <c r="M61" i="1"/>
  <c r="L61" i="1" l="1"/>
  <c r="B61" i="1"/>
  <c r="D62" i="1" s="1"/>
  <c r="C23" i="2" l="1"/>
  <c r="H62" i="1"/>
  <c r="C62" i="1"/>
  <c r="N73" i="1"/>
  <c r="H63" i="1" l="1"/>
  <c r="I63" i="1" s="1"/>
  <c r="D23" i="2"/>
  <c r="I62" i="1"/>
  <c r="B62" i="1"/>
  <c r="D63" i="1" s="1"/>
  <c r="E22" i="2" l="1"/>
  <c r="H64" i="1"/>
  <c r="I64" i="1" l="1"/>
  <c r="C63" i="1"/>
  <c r="H65" i="1"/>
  <c r="I65" i="1" s="1"/>
  <c r="B63" i="1" l="1"/>
  <c r="D64" i="1" s="1"/>
  <c r="H66" i="1"/>
  <c r="I66" i="1" l="1"/>
  <c r="H67" i="1"/>
  <c r="I67" i="1" s="1"/>
  <c r="C64" i="1" l="1"/>
  <c r="H68" i="1"/>
  <c r="I68" i="1" s="1"/>
  <c r="B64" i="1" l="1"/>
  <c r="D65" i="1" s="1"/>
  <c r="H69" i="1"/>
  <c r="H70" i="1" l="1"/>
  <c r="I70" i="1" s="1"/>
  <c r="I69" i="1"/>
  <c r="H71" i="1" l="1"/>
  <c r="I71" i="1" s="1"/>
  <c r="C65" i="1"/>
  <c r="B65" i="1" l="1"/>
  <c r="D66" i="1" s="1"/>
  <c r="H72" i="1"/>
  <c r="I72" i="1" s="1"/>
  <c r="H73" i="1" l="1"/>
  <c r="P73" i="1"/>
  <c r="C66" i="1" l="1"/>
  <c r="I73" i="1"/>
  <c r="Q73" i="1"/>
  <c r="B66" i="1" l="1"/>
  <c r="D67" i="1" s="1"/>
  <c r="C67" i="1" l="1"/>
  <c r="B67" i="1" s="1"/>
  <c r="D68" i="1" s="1"/>
  <c r="C68" i="1" l="1"/>
  <c r="B68" i="1" s="1"/>
  <c r="D69" i="1" s="1"/>
  <c r="C69" i="1" l="1"/>
  <c r="B69" i="1" s="1"/>
  <c r="D70" i="1" s="1"/>
  <c r="C70" i="1" l="1"/>
  <c r="B70" i="1" s="1"/>
  <c r="D71" i="1" s="1"/>
  <c r="C71" i="1" l="1"/>
  <c r="B71" i="1" s="1"/>
  <c r="D72" i="1" s="1"/>
  <c r="C72" i="1" l="1"/>
  <c r="B72" i="1" s="1"/>
  <c r="D73" i="1" s="1"/>
  <c r="C73" i="1" l="1"/>
  <c r="M73" i="1"/>
  <c r="L73" i="1" l="1"/>
  <c r="B73" i="1"/>
  <c r="D74" i="1" s="1"/>
  <c r="C24" i="2" l="1"/>
  <c r="H74" i="1"/>
  <c r="N85" i="1"/>
  <c r="C74" i="1"/>
  <c r="B74" i="1" l="1"/>
  <c r="D75" i="1" s="1"/>
  <c r="H75" i="1"/>
  <c r="I75" i="1" s="1"/>
  <c r="D24" i="2"/>
  <c r="I74" i="1"/>
  <c r="H76" i="1" l="1"/>
  <c r="E23" i="2"/>
  <c r="I76" i="1" l="1"/>
  <c r="C75" i="1"/>
  <c r="H77" i="1"/>
  <c r="I77" i="1" s="1"/>
  <c r="H78" i="1" l="1"/>
  <c r="I78" i="1" s="1"/>
  <c r="B75" i="1"/>
  <c r="D76" i="1" s="1"/>
  <c r="H79" i="1" l="1"/>
  <c r="I79" i="1" l="1"/>
  <c r="C76" i="1"/>
  <c r="H80" i="1"/>
  <c r="I80" i="1" s="1"/>
  <c r="H81" i="1" l="1"/>
  <c r="B76" i="1"/>
  <c r="D77" i="1" s="1"/>
  <c r="H82" i="1" l="1"/>
  <c r="I82" i="1" s="1"/>
  <c r="I81" i="1"/>
  <c r="C77" i="1" l="1"/>
  <c r="H83" i="1"/>
  <c r="I83" i="1" s="1"/>
  <c r="H84" i="1" l="1"/>
  <c r="I84" i="1" s="1"/>
  <c r="B77" i="1"/>
  <c r="D78" i="1" s="1"/>
  <c r="H85" i="1" l="1"/>
  <c r="P85" i="1"/>
  <c r="C78" i="1" l="1"/>
  <c r="I85" i="1"/>
  <c r="Q85" i="1"/>
  <c r="B78" i="1" l="1"/>
  <c r="D79" i="1" s="1"/>
  <c r="C79" i="1" l="1"/>
  <c r="B79" i="1" s="1"/>
  <c r="D80" i="1" s="1"/>
  <c r="C80" i="1" l="1"/>
  <c r="B80" i="1" s="1"/>
  <c r="D81" i="1" s="1"/>
  <c r="C81" i="1" l="1"/>
  <c r="B81" i="1" s="1"/>
  <c r="D82" i="1" s="1"/>
  <c r="C82" i="1" l="1"/>
  <c r="B82" i="1" s="1"/>
  <c r="D83" i="1" s="1"/>
  <c r="C83" i="1" l="1"/>
  <c r="B83" i="1" s="1"/>
  <c r="D84" i="1" s="1"/>
  <c r="C84" i="1" l="1"/>
  <c r="B84" i="1" s="1"/>
  <c r="D85" i="1" s="1"/>
  <c r="C85" i="1" l="1"/>
  <c r="M85" i="1"/>
  <c r="L85" i="1" l="1"/>
  <c r="B85" i="1"/>
  <c r="D86" i="1" s="1"/>
  <c r="N97" i="1" l="1"/>
  <c r="C86" i="1"/>
  <c r="C25" i="2"/>
  <c r="H86" i="1"/>
  <c r="D25" i="2" l="1"/>
  <c r="I86" i="1"/>
  <c r="H87" i="1"/>
  <c r="I87" i="1" s="1"/>
  <c r="B86" i="1"/>
  <c r="D87" i="1" s="1"/>
  <c r="E24" i="2" l="1"/>
  <c r="H88" i="1"/>
  <c r="I88" i="1" s="1"/>
  <c r="H89" i="1" l="1"/>
  <c r="I89" i="1" s="1"/>
  <c r="C87" i="1"/>
  <c r="H90" i="1" l="1"/>
  <c r="B87" i="1"/>
  <c r="D88" i="1" s="1"/>
  <c r="I90" i="1" l="1"/>
  <c r="H91" i="1"/>
  <c r="I91" i="1" s="1"/>
  <c r="C88" i="1" l="1"/>
  <c r="H92" i="1"/>
  <c r="H93" i="1" l="1"/>
  <c r="I93" i="1" s="1"/>
  <c r="I92" i="1"/>
  <c r="B88" i="1"/>
  <c r="D89" i="1" s="1"/>
  <c r="H94" i="1" l="1"/>
  <c r="I94" i="1" s="1"/>
  <c r="C89" i="1" l="1"/>
  <c r="H95" i="1"/>
  <c r="I95" i="1" s="1"/>
  <c r="B89" i="1" l="1"/>
  <c r="D90" i="1" s="1"/>
  <c r="H96" i="1"/>
  <c r="I96" i="1" s="1"/>
  <c r="H97" i="1" l="1"/>
  <c r="P97" i="1"/>
  <c r="C90" i="1" l="1"/>
  <c r="I97" i="1"/>
  <c r="Q97" i="1"/>
  <c r="B90" i="1" l="1"/>
  <c r="D91" i="1" s="1"/>
  <c r="C91" i="1" l="1"/>
  <c r="B91" i="1" s="1"/>
  <c r="D92" i="1" s="1"/>
  <c r="C92" i="1" l="1"/>
  <c r="B92" i="1" s="1"/>
  <c r="D93" i="1" s="1"/>
  <c r="C93" i="1" l="1"/>
  <c r="B93" i="1" s="1"/>
  <c r="D94" i="1" s="1"/>
  <c r="C94" i="1" l="1"/>
  <c r="B94" i="1" s="1"/>
  <c r="D95" i="1" s="1"/>
  <c r="C95" i="1" l="1"/>
  <c r="B95" i="1" s="1"/>
  <c r="D96" i="1" s="1"/>
  <c r="C96" i="1" l="1"/>
  <c r="B96" i="1" s="1"/>
  <c r="D97" i="1" s="1"/>
  <c r="C97" i="1" l="1"/>
  <c r="M97" i="1"/>
  <c r="L97" i="1" l="1"/>
  <c r="B97" i="1"/>
  <c r="D98" i="1" s="1"/>
  <c r="C26" i="2" l="1"/>
  <c r="H98" i="1"/>
  <c r="N109" i="1"/>
  <c r="C98" i="1"/>
  <c r="B98" i="1" l="1"/>
  <c r="D99" i="1" s="1"/>
  <c r="D26" i="2"/>
  <c r="I98" i="1"/>
  <c r="H99" i="1"/>
  <c r="I99" i="1" s="1"/>
  <c r="E25" i="2" l="1"/>
  <c r="H100" i="1"/>
  <c r="I100" i="1" s="1"/>
  <c r="H101" i="1" l="1"/>
  <c r="C99" i="1"/>
  <c r="B99" i="1" l="1"/>
  <c r="D100" i="1" s="1"/>
  <c r="H102" i="1"/>
  <c r="I102" i="1" s="1"/>
  <c r="I101" i="1"/>
  <c r="H103" i="1" l="1"/>
  <c r="C100" i="1" l="1"/>
  <c r="I103" i="1"/>
  <c r="H104" i="1"/>
  <c r="I104" i="1" s="1"/>
  <c r="H105" i="1" l="1"/>
  <c r="B100" i="1"/>
  <c r="D101" i="1" s="1"/>
  <c r="H106" i="1" l="1"/>
  <c r="I106" i="1" s="1"/>
  <c r="I105" i="1"/>
  <c r="C101" i="1" l="1"/>
  <c r="H107" i="1"/>
  <c r="I107" i="1" s="1"/>
  <c r="H108" i="1" l="1"/>
  <c r="I108" i="1" s="1"/>
  <c r="B101" i="1"/>
  <c r="D102" i="1" s="1"/>
  <c r="H109" i="1" l="1"/>
  <c r="P109" i="1"/>
  <c r="C102" i="1" l="1"/>
  <c r="I109" i="1"/>
  <c r="Q109" i="1"/>
  <c r="B102" i="1" l="1"/>
  <c r="D103" i="1" s="1"/>
  <c r="C103" i="1" l="1"/>
  <c r="B103" i="1" s="1"/>
  <c r="D104" i="1" s="1"/>
  <c r="C104" i="1" l="1"/>
  <c r="B104" i="1" s="1"/>
  <c r="D105" i="1" s="1"/>
  <c r="C105" i="1" l="1"/>
  <c r="B105" i="1" s="1"/>
  <c r="D106" i="1" s="1"/>
  <c r="C106" i="1" l="1"/>
  <c r="B106" i="1" s="1"/>
  <c r="D107" i="1" s="1"/>
  <c r="C107" i="1" l="1"/>
  <c r="B107" i="1" s="1"/>
  <c r="D108" i="1" s="1"/>
  <c r="C108" i="1" l="1"/>
  <c r="B108" i="1" s="1"/>
  <c r="D109" i="1" s="1"/>
  <c r="C109" i="1" l="1"/>
  <c r="M109" i="1"/>
  <c r="L109" i="1" l="1"/>
  <c r="B109" i="1"/>
  <c r="D110" i="1" s="1"/>
  <c r="C27" i="2" l="1"/>
  <c r="H110" i="1"/>
  <c r="C110" i="1"/>
  <c r="N121" i="1"/>
  <c r="H111" i="1" l="1"/>
  <c r="I111" i="1" s="1"/>
  <c r="I110" i="1"/>
  <c r="D27" i="2"/>
  <c r="B110" i="1"/>
  <c r="D111" i="1" s="1"/>
  <c r="E26" i="2" l="1"/>
  <c r="H112" i="1"/>
  <c r="H113" i="1" l="1"/>
  <c r="I113" i="1" s="1"/>
  <c r="C111" i="1"/>
  <c r="I112" i="1"/>
  <c r="B111" i="1" l="1"/>
  <c r="D112" i="1" s="1"/>
  <c r="H114" i="1"/>
  <c r="H115" i="1" l="1"/>
  <c r="I115" i="1" s="1"/>
  <c r="I114" i="1"/>
  <c r="C112" i="1" l="1"/>
  <c r="H116" i="1"/>
  <c r="H117" i="1" l="1"/>
  <c r="I117" i="1" s="1"/>
  <c r="I116" i="1"/>
  <c r="B112" i="1"/>
  <c r="D113" i="1" s="1"/>
  <c r="H118" i="1" l="1"/>
  <c r="I118" i="1" l="1"/>
  <c r="H119" i="1"/>
  <c r="I119" i="1" s="1"/>
  <c r="C113" i="1"/>
  <c r="H120" i="1" l="1"/>
  <c r="I120" i="1" s="1"/>
  <c r="B113" i="1"/>
  <c r="D114" i="1" s="1"/>
  <c r="H121" i="1" l="1"/>
  <c r="P121" i="1"/>
  <c r="C114" i="1" l="1"/>
  <c r="I121" i="1"/>
  <c r="Q121" i="1"/>
  <c r="B114" i="1" l="1"/>
  <c r="D115" i="1" s="1"/>
  <c r="C115" i="1" l="1"/>
  <c r="B115" i="1" s="1"/>
  <c r="D116" i="1" s="1"/>
  <c r="C116" i="1" l="1"/>
  <c r="B116" i="1" s="1"/>
  <c r="D117" i="1" s="1"/>
  <c r="C117" i="1" l="1"/>
  <c r="B117" i="1" s="1"/>
  <c r="D118" i="1" s="1"/>
  <c r="C118" i="1" l="1"/>
  <c r="B118" i="1" s="1"/>
  <c r="D119" i="1" s="1"/>
  <c r="C119" i="1" l="1"/>
  <c r="B119" i="1" s="1"/>
  <c r="D120" i="1" s="1"/>
  <c r="C120" i="1" l="1"/>
  <c r="B120" i="1" s="1"/>
  <c r="D121" i="1" s="1"/>
  <c r="C121" i="1" l="1"/>
  <c r="M121" i="1"/>
  <c r="L121" i="1" l="1"/>
  <c r="B121" i="1"/>
  <c r="D122" i="1" s="1"/>
  <c r="N133" i="1" l="1"/>
  <c r="C28" i="2"/>
  <c r="H122" i="1"/>
  <c r="C122" i="1"/>
  <c r="H123" i="1" l="1"/>
  <c r="I123" i="1" s="1"/>
  <c r="I122" i="1"/>
  <c r="D28" i="2"/>
  <c r="B122" i="1"/>
  <c r="D123" i="1" s="1"/>
  <c r="E27" i="2" l="1"/>
  <c r="H124" i="1"/>
  <c r="I124" i="1" l="1"/>
  <c r="H125" i="1"/>
  <c r="I125" i="1" s="1"/>
  <c r="C123" i="1"/>
  <c r="H126" i="1" l="1"/>
  <c r="I126" i="1" s="1"/>
  <c r="B123" i="1"/>
  <c r="D124" i="1" s="1"/>
  <c r="H127" i="1" l="1"/>
  <c r="C124" i="1" l="1"/>
  <c r="H128" i="1"/>
  <c r="I128" i="1" s="1"/>
  <c r="I127" i="1"/>
  <c r="H129" i="1" l="1"/>
  <c r="B124" i="1"/>
  <c r="D125" i="1" s="1"/>
  <c r="I129" i="1" l="1"/>
  <c r="H130" i="1"/>
  <c r="I130" i="1" s="1"/>
  <c r="C125" i="1" l="1"/>
  <c r="H131" i="1"/>
  <c r="I131" i="1" s="1"/>
  <c r="H132" i="1" l="1"/>
  <c r="I132" i="1" s="1"/>
  <c r="B125" i="1"/>
  <c r="D126" i="1" s="1"/>
  <c r="H133" i="1" l="1"/>
  <c r="P133" i="1"/>
  <c r="C126" i="1" l="1"/>
  <c r="I133" i="1"/>
  <c r="Q133" i="1"/>
  <c r="B126" i="1" l="1"/>
  <c r="D127" i="1" s="1"/>
  <c r="C127" i="1" l="1"/>
  <c r="B127" i="1" s="1"/>
  <c r="D128" i="1" s="1"/>
  <c r="C128" i="1" l="1"/>
  <c r="B128" i="1" s="1"/>
  <c r="D129" i="1" s="1"/>
  <c r="C129" i="1" l="1"/>
  <c r="B129" i="1" s="1"/>
  <c r="D130" i="1" s="1"/>
  <c r="C130" i="1" l="1"/>
  <c r="B130" i="1" s="1"/>
  <c r="D131" i="1" s="1"/>
  <c r="C131" i="1" l="1"/>
  <c r="B131" i="1" s="1"/>
  <c r="D132" i="1" s="1"/>
  <c r="C132" i="1" l="1"/>
  <c r="B132" i="1" s="1"/>
  <c r="D133" i="1" s="1"/>
  <c r="C133" i="1" l="1"/>
  <c r="M133" i="1"/>
  <c r="L133" i="1" l="1"/>
  <c r="B133" i="1"/>
  <c r="D134" i="1" s="1"/>
  <c r="C29" i="2" l="1"/>
  <c r="H134" i="1"/>
  <c r="C134" i="1"/>
  <c r="N145" i="1"/>
  <c r="I134" i="1" l="1"/>
  <c r="D29" i="2"/>
  <c r="H135" i="1"/>
  <c r="I135" i="1" s="1"/>
  <c r="B134" i="1"/>
  <c r="D135" i="1" s="1"/>
  <c r="E28" i="2" l="1"/>
  <c r="H136" i="1"/>
  <c r="I136" i="1" s="1"/>
  <c r="H137" i="1" l="1"/>
  <c r="C135" i="1"/>
  <c r="B135" i="1" l="1"/>
  <c r="D136" i="1" s="1"/>
  <c r="H138" i="1"/>
  <c r="I138" i="1" s="1"/>
  <c r="I137" i="1"/>
  <c r="H139" i="1" l="1"/>
  <c r="I139" i="1" s="1"/>
  <c r="H140" i="1" l="1"/>
  <c r="C136" i="1"/>
  <c r="B136" i="1" l="1"/>
  <c r="D137" i="1" s="1"/>
  <c r="H141" i="1"/>
  <c r="I141" i="1" s="1"/>
  <c r="I140" i="1"/>
  <c r="H142" i="1" l="1"/>
  <c r="I142" i="1" s="1"/>
  <c r="H143" i="1" l="1"/>
  <c r="I143" i="1" s="1"/>
  <c r="C137" i="1"/>
  <c r="B137" i="1" l="1"/>
  <c r="D138" i="1" s="1"/>
  <c r="H144" i="1"/>
  <c r="I144" i="1" s="1"/>
  <c r="P145" i="1" l="1"/>
  <c r="C138" i="1" l="1"/>
  <c r="B138" i="1" l="1"/>
  <c r="D139" i="1" s="1"/>
  <c r="C139" i="1" l="1"/>
  <c r="B139" i="1" s="1"/>
  <c r="D140" i="1" s="1"/>
  <c r="C140" i="1" l="1"/>
  <c r="B140" i="1" s="1"/>
  <c r="D141" i="1" s="1"/>
  <c r="C141" i="1" l="1"/>
  <c r="B141" i="1" s="1"/>
  <c r="D142" i="1" s="1"/>
  <c r="C142" i="1" l="1"/>
  <c r="B142" i="1" s="1"/>
  <c r="D143" i="1" s="1"/>
  <c r="C143" i="1" l="1"/>
  <c r="B143" i="1" s="1"/>
  <c r="D144" i="1" s="1"/>
  <c r="C144" i="1" l="1"/>
  <c r="B144" i="1" s="1"/>
  <c r="D145" i="1" l="1"/>
  <c r="J145" i="1" s="1"/>
  <c r="R145" i="1" s="1"/>
  <c r="F145" i="1"/>
  <c r="M145" i="1" l="1"/>
  <c r="K145" i="1"/>
  <c r="S145" i="1" s="1"/>
  <c r="O145" i="1"/>
  <c r="H145" i="1"/>
  <c r="C145" i="1"/>
  <c r="B145" i="1" s="1"/>
  <c r="L145" i="1" l="1"/>
  <c r="D146" i="1"/>
  <c r="J146" i="1"/>
  <c r="K146" i="1"/>
  <c r="F146" i="1"/>
  <c r="Q145" i="1"/>
  <c r="I145" i="1"/>
  <c r="C30" i="2"/>
  <c r="N157" i="1"/>
  <c r="B30" i="2" l="1"/>
  <c r="C146" i="1"/>
  <c r="B146" i="1" s="1"/>
  <c r="H146" i="1"/>
  <c r="D30" i="2" s="1"/>
  <c r="I146" i="1" l="1"/>
  <c r="D147" i="1"/>
  <c r="K147" i="1" s="1"/>
  <c r="E29" i="2"/>
  <c r="F147" i="1" l="1"/>
  <c r="H147" i="1" s="1"/>
  <c r="I147" i="1" s="1"/>
  <c r="J147" i="1"/>
  <c r="C147" i="1" l="1"/>
  <c r="B147" i="1" s="1"/>
  <c r="D148" i="1" l="1"/>
  <c r="J148" i="1" s="1"/>
  <c r="K148" i="1"/>
  <c r="F148" i="1"/>
  <c r="H148" i="1" l="1"/>
  <c r="I148" i="1" s="1"/>
  <c r="C148" i="1"/>
  <c r="B148" i="1" l="1"/>
  <c r="D149" i="1" l="1"/>
  <c r="J149" i="1" s="1"/>
  <c r="K149" i="1"/>
  <c r="F149" i="1"/>
  <c r="H149" i="1" l="1"/>
  <c r="I149" i="1" s="1"/>
  <c r="C149" i="1"/>
  <c r="B149" i="1" l="1"/>
  <c r="D150" i="1" l="1"/>
  <c r="J150" i="1" s="1"/>
  <c r="P157" i="1"/>
  <c r="F150" i="1" l="1"/>
  <c r="C150" i="1" s="1"/>
  <c r="K150" i="1"/>
  <c r="H150" i="1" l="1"/>
  <c r="I150" i="1" s="1"/>
  <c r="B150" i="1"/>
  <c r="D151" i="1" l="1"/>
  <c r="K151" i="1"/>
  <c r="J151" i="1"/>
  <c r="F151" i="1"/>
  <c r="H151" i="1" s="1"/>
  <c r="I151" i="1" s="1"/>
  <c r="C151" i="1" l="1"/>
  <c r="B151" i="1" s="1"/>
  <c r="D152" i="1" l="1"/>
  <c r="K152" i="1" s="1"/>
  <c r="F152" i="1" l="1"/>
  <c r="J152" i="1"/>
  <c r="H152" i="1" l="1"/>
  <c r="I152" i="1" s="1"/>
  <c r="C152" i="1"/>
  <c r="B152" i="1" s="1"/>
  <c r="D153" i="1" l="1"/>
  <c r="J153" i="1" s="1"/>
  <c r="F153" i="1"/>
  <c r="H153" i="1" l="1"/>
  <c r="I153" i="1" s="1"/>
  <c r="C153" i="1"/>
  <c r="B153" i="1" s="1"/>
  <c r="K153" i="1"/>
  <c r="D154" i="1" l="1"/>
  <c r="J154" i="1" s="1"/>
  <c r="F154" i="1"/>
  <c r="H154" i="1" l="1"/>
  <c r="I154" i="1" s="1"/>
  <c r="C154" i="1"/>
  <c r="K154" i="1"/>
  <c r="C31" i="2"/>
  <c r="N169" i="1"/>
  <c r="B154" i="1" l="1"/>
  <c r="D155" i="1" l="1"/>
  <c r="J155" i="1" s="1"/>
  <c r="F155" i="1"/>
  <c r="K155" i="1" l="1"/>
  <c r="H155" i="1"/>
  <c r="I155" i="1" s="1"/>
  <c r="C155" i="1"/>
  <c r="B155" i="1" l="1"/>
  <c r="D156" i="1" l="1"/>
  <c r="F156" i="1" s="1"/>
  <c r="H156" i="1" l="1"/>
  <c r="I156" i="1" s="1"/>
  <c r="C156" i="1"/>
  <c r="K156" i="1"/>
  <c r="J156" i="1"/>
  <c r="B156" i="1" l="1"/>
  <c r="D157" i="1" l="1"/>
  <c r="M157" i="1" s="1"/>
  <c r="F157" i="1" l="1"/>
  <c r="K157" i="1"/>
  <c r="S157" i="1" s="1"/>
  <c r="J157" i="1"/>
  <c r="R157" i="1" s="1"/>
  <c r="H157" i="1" l="1"/>
  <c r="O157" i="1"/>
  <c r="C157" i="1"/>
  <c r="Q157" i="1" l="1"/>
  <c r="I157" i="1"/>
  <c r="L157" i="1"/>
  <c r="B157" i="1"/>
  <c r="P169" i="1"/>
  <c r="D158" i="1" l="1"/>
  <c r="J158" i="1" s="1"/>
  <c r="K158" i="1" l="1"/>
  <c r="F158" i="1"/>
  <c r="B31" i="2" s="1"/>
  <c r="C158" i="1" l="1"/>
  <c r="B158" i="1" s="1"/>
  <c r="D159" i="1" s="1"/>
  <c r="J159" i="1" s="1"/>
  <c r="H158" i="1"/>
  <c r="I158" i="1" s="1"/>
  <c r="D31" i="2" l="1"/>
  <c r="E30" i="2"/>
  <c r="F159" i="1"/>
  <c r="K159" i="1"/>
  <c r="H159" i="1" l="1"/>
  <c r="C159" i="1"/>
  <c r="B159" i="1" s="1"/>
  <c r="D160" i="1" l="1"/>
  <c r="K160" i="1" s="1"/>
  <c r="I159" i="1"/>
  <c r="F160" i="1" l="1"/>
  <c r="H160" i="1" s="1"/>
  <c r="I160" i="1" s="1"/>
  <c r="J160" i="1"/>
  <c r="C160" i="1" l="1"/>
  <c r="B160" i="1" s="1"/>
  <c r="D161" i="1" s="1"/>
  <c r="J161" i="1" s="1"/>
  <c r="K161" i="1" l="1"/>
  <c r="F161" i="1"/>
  <c r="H161" i="1" l="1"/>
  <c r="C161" i="1"/>
  <c r="B161" i="1" s="1"/>
  <c r="D162" i="1" l="1"/>
  <c r="J162" i="1"/>
  <c r="I161" i="1"/>
  <c r="C32" i="2"/>
  <c r="N181" i="1"/>
  <c r="F162" i="1" l="1"/>
  <c r="K162" i="1"/>
  <c r="H162" i="1" l="1"/>
  <c r="I162" i="1" s="1"/>
  <c r="C162" i="1"/>
  <c r="B162" i="1" l="1"/>
  <c r="D163" i="1" l="1"/>
  <c r="K163" i="1" s="1"/>
  <c r="F163" i="1" l="1"/>
  <c r="H163" i="1" s="1"/>
  <c r="I163" i="1" s="1"/>
  <c r="J163" i="1"/>
  <c r="C163" i="1" l="1"/>
  <c r="B163" i="1" s="1"/>
  <c r="D164" i="1" l="1"/>
  <c r="F164" i="1" s="1"/>
  <c r="H164" i="1" l="1"/>
  <c r="I164" i="1" s="1"/>
  <c r="C164" i="1"/>
  <c r="J164" i="1"/>
  <c r="K164" i="1"/>
  <c r="B164" i="1" l="1"/>
  <c r="D165" i="1" l="1"/>
  <c r="J165" i="1" s="1"/>
  <c r="F165" i="1" l="1"/>
  <c r="H165" i="1" s="1"/>
  <c r="I165" i="1" s="1"/>
  <c r="K165" i="1"/>
  <c r="P181" i="1"/>
  <c r="C165" i="1" l="1"/>
  <c r="B165" i="1" s="1"/>
  <c r="D166" i="1" l="1"/>
  <c r="J166" i="1"/>
  <c r="K166" i="1"/>
  <c r="F166" i="1"/>
  <c r="H166" i="1" l="1"/>
  <c r="I166" i="1" s="1"/>
  <c r="C166" i="1"/>
  <c r="B166" i="1" s="1"/>
  <c r="D167" i="1" l="1"/>
  <c r="J167" i="1" s="1"/>
  <c r="K167" i="1"/>
  <c r="F167" i="1"/>
  <c r="H167" i="1" l="1"/>
  <c r="I167" i="1" s="1"/>
  <c r="C167" i="1"/>
  <c r="B167" i="1" s="1"/>
  <c r="D168" i="1" l="1"/>
  <c r="K168" i="1" s="1"/>
  <c r="F168" i="1" l="1"/>
  <c r="J168" i="1"/>
  <c r="H168" i="1" l="1"/>
  <c r="I168" i="1" s="1"/>
  <c r="C168" i="1"/>
  <c r="B168" i="1" s="1"/>
  <c r="D169" i="1" l="1"/>
  <c r="M169" i="1" s="1"/>
  <c r="F169" i="1" l="1"/>
  <c r="O169" i="1" s="1"/>
  <c r="K169" i="1"/>
  <c r="S169" i="1" s="1"/>
  <c r="J169" i="1"/>
  <c r="R169" i="1" s="1"/>
  <c r="C169" i="1" l="1"/>
  <c r="B169" i="1" s="1"/>
  <c r="H169" i="1"/>
  <c r="C33" i="2"/>
  <c r="N193" i="1"/>
  <c r="L169" i="1" l="1"/>
  <c r="Q169" i="1"/>
  <c r="I169" i="1"/>
  <c r="D170" i="1"/>
  <c r="J170" i="1" s="1"/>
  <c r="F170" i="1" l="1"/>
  <c r="B32" i="2" s="1"/>
  <c r="K170" i="1"/>
  <c r="C170" i="1" l="1"/>
  <c r="B170" i="1" s="1"/>
  <c r="H170" i="1"/>
  <c r="I170" i="1" s="1"/>
  <c r="D32" i="2" l="1"/>
  <c r="D171" i="1"/>
  <c r="F171" i="1" s="1"/>
  <c r="E31" i="2"/>
  <c r="J171" i="1" l="1"/>
  <c r="H171" i="1"/>
  <c r="C171" i="1"/>
  <c r="K171" i="1"/>
  <c r="B171" i="1" l="1"/>
  <c r="I171" i="1"/>
  <c r="D172" i="1" l="1"/>
  <c r="K172" i="1" s="1"/>
  <c r="F172" i="1" l="1"/>
  <c r="H172" i="1" s="1"/>
  <c r="J172" i="1"/>
  <c r="C172" i="1" l="1"/>
  <c r="B172" i="1" s="1"/>
  <c r="I172" i="1"/>
  <c r="D173" i="1" l="1"/>
  <c r="K173" i="1" s="1"/>
  <c r="F173" i="1" l="1"/>
  <c r="J173" i="1"/>
  <c r="P193" i="1"/>
  <c r="H173" i="1" l="1"/>
  <c r="C173" i="1"/>
  <c r="B173" i="1" l="1"/>
  <c r="I173" i="1"/>
  <c r="D174" i="1" l="1"/>
  <c r="K174" i="1" s="1"/>
  <c r="F174" i="1" l="1"/>
  <c r="H174" i="1" s="1"/>
  <c r="J174" i="1"/>
  <c r="C174" i="1" l="1"/>
  <c r="B174" i="1" s="1"/>
  <c r="I174" i="1"/>
  <c r="D175" i="1" l="1"/>
  <c r="K175" i="1" s="1"/>
  <c r="F175" i="1"/>
  <c r="J175" i="1" l="1"/>
  <c r="H175" i="1"/>
  <c r="I175" i="1" s="1"/>
  <c r="C175" i="1"/>
  <c r="B175" i="1" s="1"/>
  <c r="D176" i="1" l="1"/>
  <c r="J176" i="1" s="1"/>
  <c r="K176" i="1" l="1"/>
  <c r="F176" i="1"/>
  <c r="H176" i="1" l="1"/>
  <c r="I176" i="1" s="1"/>
  <c r="C176" i="1"/>
  <c r="B176" i="1" s="1"/>
  <c r="D177" i="1" l="1"/>
  <c r="J177" i="1" s="1"/>
  <c r="K177" i="1"/>
  <c r="C34" i="2"/>
  <c r="N205" i="1"/>
  <c r="F177" i="1" l="1"/>
  <c r="H177" i="1" l="1"/>
  <c r="I177" i="1" s="1"/>
  <c r="C177" i="1"/>
  <c r="B177" i="1" s="1"/>
  <c r="D178" i="1" l="1"/>
  <c r="K178" i="1" s="1"/>
  <c r="F178" i="1" l="1"/>
  <c r="J178" i="1"/>
  <c r="H178" i="1" l="1"/>
  <c r="I178" i="1" s="1"/>
  <c r="C178" i="1"/>
  <c r="B178" i="1" s="1"/>
  <c r="D179" i="1" l="1"/>
  <c r="K179" i="1" s="1"/>
  <c r="F179" i="1" l="1"/>
  <c r="H179" i="1" s="1"/>
  <c r="I179" i="1" s="1"/>
  <c r="J179" i="1"/>
  <c r="C179" i="1" l="1"/>
  <c r="B179" i="1" s="1"/>
  <c r="D180" i="1" s="1"/>
  <c r="K180" i="1" s="1"/>
  <c r="J180" i="1" l="1"/>
  <c r="F180" i="1"/>
  <c r="H180" i="1" l="1"/>
  <c r="I180" i="1" s="1"/>
  <c r="C180" i="1"/>
  <c r="B180" i="1" s="1"/>
  <c r="D181" i="1" l="1"/>
  <c r="M181" i="1" s="1"/>
  <c r="P205" i="1"/>
  <c r="J181" i="1" l="1"/>
  <c r="R181" i="1" s="1"/>
  <c r="F181" i="1"/>
  <c r="K181" i="1"/>
  <c r="S181" i="1" s="1"/>
  <c r="H181" i="1" l="1"/>
  <c r="C181" i="1"/>
  <c r="O181" i="1"/>
  <c r="Q181" i="1" l="1"/>
  <c r="I181" i="1"/>
  <c r="L181" i="1"/>
  <c r="B181" i="1"/>
  <c r="D182" i="1" l="1"/>
  <c r="F182" i="1" s="1"/>
  <c r="J182" i="1" l="1"/>
  <c r="B33" i="2"/>
  <c r="C182" i="1"/>
  <c r="H182" i="1"/>
  <c r="I182" i="1" s="1"/>
  <c r="K182" i="1"/>
  <c r="B182" i="1" l="1"/>
  <c r="D33" i="2"/>
  <c r="D183" i="1" l="1"/>
  <c r="J183" i="1" s="1"/>
  <c r="K183" i="1"/>
  <c r="E32" i="2"/>
  <c r="F183" i="1" l="1"/>
  <c r="H183" i="1" s="1"/>
  <c r="C183" i="1" l="1"/>
  <c r="B183" i="1" s="1"/>
  <c r="I183" i="1"/>
  <c r="D184" i="1" l="1"/>
  <c r="K184" i="1"/>
  <c r="J184" i="1"/>
  <c r="F184" i="1"/>
  <c r="H184" i="1" l="1"/>
  <c r="I184" i="1" s="1"/>
  <c r="C184" i="1"/>
  <c r="C35" i="2"/>
  <c r="N217" i="1"/>
  <c r="B184" i="1" l="1"/>
  <c r="D185" i="1" l="1"/>
  <c r="J185" i="1" s="1"/>
  <c r="F185" i="1"/>
  <c r="K185" i="1" l="1"/>
  <c r="H185" i="1"/>
  <c r="C185" i="1"/>
  <c r="B185" i="1" l="1"/>
  <c r="I185" i="1"/>
  <c r="D186" i="1" l="1"/>
  <c r="J186" i="1" s="1"/>
  <c r="K186" i="1"/>
  <c r="F186" i="1"/>
  <c r="H186" i="1" l="1"/>
  <c r="I186" i="1" s="1"/>
  <c r="C186" i="1"/>
  <c r="B186" i="1" l="1"/>
  <c r="D187" i="1" l="1"/>
  <c r="J187" i="1" s="1"/>
  <c r="F187" i="1"/>
  <c r="K187" i="1" l="1"/>
  <c r="H187" i="1"/>
  <c r="I187" i="1" s="1"/>
  <c r="C187" i="1"/>
  <c r="B187" i="1" s="1"/>
  <c r="D188" i="1" l="1"/>
  <c r="K188" i="1"/>
  <c r="J188" i="1"/>
  <c r="F188" i="1"/>
  <c r="H188" i="1" l="1"/>
  <c r="I188" i="1" s="1"/>
  <c r="C188" i="1"/>
  <c r="B188" i="1" s="1"/>
  <c r="P217" i="1"/>
  <c r="D189" i="1" l="1"/>
  <c r="K189" i="1"/>
  <c r="J189" i="1"/>
  <c r="F189" i="1"/>
  <c r="H189" i="1" l="1"/>
  <c r="I189" i="1" s="1"/>
  <c r="C189" i="1"/>
  <c r="B189" i="1" s="1"/>
  <c r="D190" i="1" l="1"/>
  <c r="K190" i="1" s="1"/>
  <c r="F190" i="1" l="1"/>
  <c r="J190" i="1"/>
  <c r="H190" i="1" l="1"/>
  <c r="I190" i="1" s="1"/>
  <c r="C190" i="1"/>
  <c r="B190" i="1" s="1"/>
  <c r="D191" i="1" l="1"/>
  <c r="K191" i="1" s="1"/>
  <c r="J191" i="1" l="1"/>
  <c r="F191" i="1"/>
  <c r="H191" i="1" l="1"/>
  <c r="I191" i="1" s="1"/>
  <c r="C191" i="1"/>
  <c r="B191" i="1" s="1"/>
  <c r="D192" i="1" l="1"/>
  <c r="J192" i="1" s="1"/>
  <c r="K192" i="1"/>
  <c r="F192" i="1" l="1"/>
  <c r="H192" i="1" l="1"/>
  <c r="I192" i="1" s="1"/>
  <c r="C192" i="1"/>
  <c r="B192" i="1" s="1"/>
  <c r="N229" i="1"/>
  <c r="C36" i="2"/>
  <c r="D193" i="1" l="1"/>
  <c r="M193" i="1" s="1"/>
  <c r="K193" i="1" l="1"/>
  <c r="S193" i="1" s="1"/>
  <c r="F193" i="1"/>
  <c r="J193" i="1"/>
  <c r="R193" i="1" s="1"/>
  <c r="H193" i="1" l="1"/>
  <c r="C193" i="1"/>
  <c r="O193" i="1"/>
  <c r="Q193" i="1" l="1"/>
  <c r="I193" i="1"/>
  <c r="L193" i="1"/>
  <c r="B193" i="1"/>
  <c r="D194" i="1" l="1"/>
  <c r="J194" i="1" s="1"/>
  <c r="K194" i="1"/>
  <c r="F194" i="1"/>
  <c r="B34" i="2" l="1"/>
  <c r="H194" i="1"/>
  <c r="I194" i="1" s="1"/>
  <c r="C194" i="1"/>
  <c r="D34" i="2" l="1"/>
  <c r="B194" i="1"/>
  <c r="D195" i="1" l="1"/>
  <c r="F195" i="1" s="1"/>
  <c r="K195" i="1"/>
  <c r="E33" i="2"/>
  <c r="H195" i="1" l="1"/>
  <c r="C195" i="1"/>
  <c r="J195" i="1"/>
  <c r="B195" i="1" l="1"/>
  <c r="I195" i="1"/>
  <c r="D196" i="1" l="1"/>
  <c r="J196" i="1" s="1"/>
  <c r="P229" i="1"/>
  <c r="F196" i="1" l="1"/>
  <c r="H196" i="1" s="1"/>
  <c r="I196" i="1" s="1"/>
  <c r="K196" i="1"/>
  <c r="C196" i="1" l="1"/>
  <c r="B196" i="1" s="1"/>
  <c r="D197" i="1" l="1"/>
  <c r="K197" i="1" s="1"/>
  <c r="J197" i="1" l="1"/>
  <c r="F197" i="1"/>
  <c r="H197" i="1" l="1"/>
  <c r="C197" i="1"/>
  <c r="B197" i="1" l="1"/>
  <c r="I197" i="1"/>
  <c r="D198" i="1" l="1"/>
  <c r="K198" i="1" s="1"/>
  <c r="J198" i="1" l="1"/>
  <c r="F198" i="1"/>
  <c r="H198" i="1" l="1"/>
  <c r="I198" i="1" s="1"/>
  <c r="C198" i="1"/>
  <c r="B198" i="1" l="1"/>
  <c r="D199" i="1" l="1"/>
  <c r="K199" i="1" s="1"/>
  <c r="C37" i="2"/>
  <c r="N241" i="1"/>
  <c r="F199" i="1" l="1"/>
  <c r="J199" i="1"/>
  <c r="H199" i="1" l="1"/>
  <c r="I199" i="1" s="1"/>
  <c r="C199" i="1"/>
  <c r="B199" i="1" s="1"/>
  <c r="D200" i="1" l="1"/>
  <c r="K200" i="1" s="1"/>
  <c r="J200" i="1"/>
  <c r="F200" i="1"/>
  <c r="H200" i="1" l="1"/>
  <c r="I200" i="1" s="1"/>
  <c r="C200" i="1"/>
  <c r="B200" i="1" s="1"/>
  <c r="D201" i="1" l="1"/>
  <c r="K201" i="1" s="1"/>
  <c r="J201" i="1"/>
  <c r="F201" i="1" l="1"/>
  <c r="H201" i="1" l="1"/>
  <c r="I201" i="1" s="1"/>
  <c r="C201" i="1"/>
  <c r="B201" i="1" s="1"/>
  <c r="D202" i="1" l="1"/>
  <c r="J202" i="1"/>
  <c r="K202" i="1"/>
  <c r="F202" i="1"/>
  <c r="H202" i="1" l="1"/>
  <c r="I202" i="1" s="1"/>
  <c r="C202" i="1"/>
  <c r="B202" i="1" s="1"/>
  <c r="D203" i="1" l="1"/>
  <c r="J203" i="1"/>
  <c r="K203" i="1"/>
  <c r="F203" i="1"/>
  <c r="H203" i="1" l="1"/>
  <c r="I203" i="1" s="1"/>
  <c r="C203" i="1"/>
  <c r="B203" i="1" s="1"/>
  <c r="P241" i="1"/>
  <c r="D204" i="1" l="1"/>
  <c r="J204" i="1" s="1"/>
  <c r="K204" i="1" l="1"/>
  <c r="F204" i="1"/>
  <c r="H204" i="1" l="1"/>
  <c r="I204" i="1" s="1"/>
  <c r="C204" i="1"/>
  <c r="B204" i="1" s="1"/>
  <c r="D205" i="1" l="1"/>
  <c r="M205" i="1" s="1"/>
  <c r="J205" i="1"/>
  <c r="R205" i="1" s="1"/>
  <c r="F205" i="1"/>
  <c r="K205" i="1" l="1"/>
  <c r="S205" i="1" s="1"/>
  <c r="H205" i="1"/>
  <c r="C205" i="1"/>
  <c r="O205" i="1"/>
  <c r="Q205" i="1" l="1"/>
  <c r="I205" i="1"/>
  <c r="L205" i="1"/>
  <c r="B205" i="1"/>
  <c r="D206" i="1" l="1"/>
  <c r="K206" i="1"/>
  <c r="J206" i="1"/>
  <c r="F206" i="1"/>
  <c r="B35" i="2" l="1"/>
  <c r="C206" i="1"/>
  <c r="H206" i="1"/>
  <c r="I206" i="1" s="1"/>
  <c r="D35" i="2" l="1"/>
  <c r="B206" i="1"/>
  <c r="D207" i="1" l="1"/>
  <c r="J207" i="1" s="1"/>
  <c r="F207" i="1"/>
  <c r="E34" i="2"/>
  <c r="K207" i="1" l="1"/>
  <c r="H207" i="1"/>
  <c r="C207" i="1"/>
  <c r="C38" i="2"/>
  <c r="N253" i="1"/>
  <c r="B207" i="1" l="1"/>
  <c r="I207" i="1"/>
  <c r="D208" i="1" l="1"/>
  <c r="K208" i="1" s="1"/>
  <c r="F208" i="1" l="1"/>
  <c r="J208" i="1"/>
  <c r="H208" i="1" l="1"/>
  <c r="C208" i="1"/>
  <c r="B208" i="1" l="1"/>
  <c r="I208" i="1"/>
  <c r="D209" i="1" l="1"/>
  <c r="J209" i="1" s="1"/>
  <c r="K209" i="1" l="1"/>
  <c r="F209" i="1"/>
  <c r="H209" i="1" l="1"/>
  <c r="I209" i="1" s="1"/>
  <c r="C209" i="1"/>
  <c r="B209" i="1" l="1"/>
  <c r="D210" i="1" l="1"/>
  <c r="K210" i="1" s="1"/>
  <c r="J210" i="1" l="1"/>
  <c r="F210" i="1"/>
  <c r="P253" i="1"/>
  <c r="H210" i="1" l="1"/>
  <c r="I210" i="1" s="1"/>
  <c r="C210" i="1"/>
  <c r="B210" i="1" l="1"/>
  <c r="D211" i="1" l="1"/>
  <c r="K211" i="1" s="1"/>
  <c r="F211" i="1" l="1"/>
  <c r="J211" i="1"/>
  <c r="H211" i="1" l="1"/>
  <c r="I211" i="1" s="1"/>
  <c r="C211" i="1"/>
  <c r="B211" i="1" s="1"/>
  <c r="D212" i="1" l="1"/>
  <c r="K212" i="1" s="1"/>
  <c r="J212" i="1" l="1"/>
  <c r="F212" i="1"/>
  <c r="H212" i="1" l="1"/>
  <c r="I212" i="1" s="1"/>
  <c r="C212" i="1"/>
  <c r="B212" i="1" s="1"/>
  <c r="D213" i="1" l="1"/>
  <c r="J213" i="1" s="1"/>
  <c r="F213" i="1" l="1"/>
  <c r="H213" i="1" s="1"/>
  <c r="I213" i="1" s="1"/>
  <c r="K213" i="1"/>
  <c r="C213" i="1" l="1"/>
  <c r="B213" i="1" s="1"/>
  <c r="D214" i="1" s="1"/>
  <c r="J214" i="1" s="1"/>
  <c r="K214" i="1"/>
  <c r="F214" i="1"/>
  <c r="E326" i="1"/>
  <c r="C39" i="2"/>
  <c r="N265" i="1"/>
  <c r="H214" i="1" l="1"/>
  <c r="I214" i="1" s="1"/>
  <c r="C214" i="1"/>
  <c r="B214" i="1" s="1"/>
  <c r="D215" i="1" l="1"/>
  <c r="J215" i="1" s="1"/>
  <c r="K215" i="1" l="1"/>
  <c r="F215" i="1"/>
  <c r="H215" i="1" l="1"/>
  <c r="I215" i="1" s="1"/>
  <c r="C215" i="1"/>
  <c r="B215" i="1" s="1"/>
  <c r="D216" i="1" l="1"/>
  <c r="K216" i="1" s="1"/>
  <c r="F216" i="1" l="1"/>
  <c r="H216" i="1" s="1"/>
  <c r="I216" i="1" s="1"/>
  <c r="J216" i="1"/>
  <c r="C216" i="1" l="1"/>
  <c r="B216" i="1" s="1"/>
  <c r="D217" i="1" s="1"/>
  <c r="M217" i="1" l="1"/>
  <c r="F217" i="1"/>
  <c r="H217" i="1" s="1"/>
  <c r="K217" i="1"/>
  <c r="S217" i="1" s="1"/>
  <c r="J217" i="1"/>
  <c r="R217" i="1" s="1"/>
  <c r="Q217" i="1" l="1"/>
  <c r="I217" i="1"/>
  <c r="O217" i="1"/>
  <c r="C217" i="1"/>
  <c r="L217" i="1" s="1"/>
  <c r="B217" i="1" l="1"/>
  <c r="D218" i="1" s="1"/>
  <c r="J218" i="1" s="1"/>
  <c r="P265" i="1"/>
  <c r="F218" i="1" l="1"/>
  <c r="K218" i="1"/>
  <c r="B36" i="2" l="1"/>
  <c r="H218" i="1"/>
  <c r="I218" i="1" s="1"/>
  <c r="C218" i="1"/>
  <c r="B218" i="1" l="1"/>
  <c r="D36" i="2"/>
  <c r="D219" i="1" l="1"/>
  <c r="F219" i="1" s="1"/>
  <c r="E35" i="2"/>
  <c r="J219" i="1" l="1"/>
  <c r="H219" i="1"/>
  <c r="C219" i="1"/>
  <c r="K219" i="1"/>
  <c r="B219" i="1" l="1"/>
  <c r="I219" i="1"/>
  <c r="D220" i="1" l="1"/>
  <c r="K220" i="1" s="1"/>
  <c r="J220" i="1"/>
  <c r="F220" i="1"/>
  <c r="H220" i="1" l="1"/>
  <c r="C220" i="1"/>
  <c r="B220" i="1" l="1"/>
  <c r="I220" i="1"/>
  <c r="D221" i="1" l="1"/>
  <c r="K221" i="1" s="1"/>
  <c r="J221" i="1" l="1"/>
  <c r="F221" i="1"/>
  <c r="H221" i="1" s="1"/>
  <c r="I221" i="1" s="1"/>
  <c r="C221" i="1" l="1"/>
  <c r="B221" i="1" s="1"/>
  <c r="D222" i="1" l="1"/>
  <c r="K222" i="1" s="1"/>
  <c r="F222" i="1" l="1"/>
  <c r="H222" i="1" s="1"/>
  <c r="I222" i="1" s="1"/>
  <c r="J222" i="1"/>
  <c r="C40" i="2"/>
  <c r="C17" i="2"/>
  <c r="D17" i="3"/>
  <c r="F87" i="7"/>
  <c r="C222" i="1" l="1"/>
  <c r="B222" i="1" s="1"/>
  <c r="P277" i="1"/>
  <c r="D223" i="1" l="1"/>
  <c r="K223" i="1" s="1"/>
  <c r="J223" i="1" l="1"/>
  <c r="F223" i="1"/>
  <c r="H223" i="1" l="1"/>
  <c r="I223" i="1" s="1"/>
  <c r="C223" i="1"/>
  <c r="B223" i="1" s="1"/>
  <c r="D224" i="1" l="1"/>
  <c r="J224" i="1" s="1"/>
  <c r="K224" i="1" l="1"/>
  <c r="F224" i="1"/>
  <c r="H224" i="1" l="1"/>
  <c r="I224" i="1" s="1"/>
  <c r="C224" i="1"/>
  <c r="B224" i="1" s="1"/>
  <c r="D225" i="1" l="1"/>
  <c r="K225" i="1" s="1"/>
  <c r="F225" i="1" l="1"/>
  <c r="H225" i="1" s="1"/>
  <c r="I225" i="1" s="1"/>
  <c r="J225" i="1"/>
  <c r="C225" i="1" l="1"/>
  <c r="B225" i="1" s="1"/>
  <c r="D226" i="1" s="1"/>
  <c r="J226" i="1" s="1"/>
  <c r="F226" i="1" l="1"/>
  <c r="K226" i="1"/>
  <c r="H226" i="1" l="1"/>
  <c r="I226" i="1" s="1"/>
  <c r="C226" i="1"/>
  <c r="B226" i="1" s="1"/>
  <c r="D227" i="1" l="1"/>
  <c r="K227" i="1" s="1"/>
  <c r="F227" i="1" l="1"/>
  <c r="J227" i="1"/>
  <c r="H227" i="1" l="1"/>
  <c r="I227" i="1" s="1"/>
  <c r="C227" i="1"/>
  <c r="B227" i="1" s="1"/>
  <c r="D228" i="1" l="1"/>
  <c r="J228" i="1" s="1"/>
  <c r="F228" i="1" l="1"/>
  <c r="H228" i="1" s="1"/>
  <c r="I228" i="1" s="1"/>
  <c r="K228" i="1"/>
  <c r="C228" i="1" l="1"/>
  <c r="B228" i="1" s="1"/>
  <c r="D229" i="1" s="1"/>
  <c r="M229" i="1" s="1"/>
  <c r="K229" i="1" l="1"/>
  <c r="S229" i="1" s="1"/>
  <c r="F229" i="1"/>
  <c r="H229" i="1" s="1"/>
  <c r="J229" i="1"/>
  <c r="R229" i="1" s="1"/>
  <c r="O229" i="1" l="1"/>
  <c r="Q229" i="1"/>
  <c r="I229" i="1"/>
  <c r="C229" i="1"/>
  <c r="B229" i="1" s="1"/>
  <c r="L229" i="1" l="1"/>
  <c r="D230" i="1"/>
  <c r="J230" i="1" s="1"/>
  <c r="F230" i="1" l="1"/>
  <c r="B37" i="2" s="1"/>
  <c r="K230" i="1"/>
  <c r="H230" i="1" l="1"/>
  <c r="I230" i="1" s="1"/>
  <c r="C230" i="1"/>
  <c r="B230" i="1" s="1"/>
  <c r="D37" i="2" l="1"/>
  <c r="D231" i="1"/>
  <c r="E36" i="2"/>
  <c r="F231" i="1" l="1"/>
  <c r="J231" i="1"/>
  <c r="K231" i="1"/>
  <c r="H231" i="1" l="1"/>
  <c r="C231" i="1"/>
  <c r="I231" i="1" l="1"/>
  <c r="B231" i="1"/>
  <c r="D232" i="1" l="1"/>
  <c r="F232" i="1" l="1"/>
  <c r="J232" i="1"/>
  <c r="K232" i="1"/>
  <c r="H232" i="1" l="1"/>
  <c r="I232" i="1" s="1"/>
  <c r="C232" i="1"/>
  <c r="B232" i="1" l="1"/>
  <c r="D233" i="1" l="1"/>
  <c r="J233" i="1" s="1"/>
  <c r="F233" i="1" l="1"/>
  <c r="H233" i="1" s="1"/>
  <c r="K233" i="1"/>
  <c r="C41" i="2"/>
  <c r="C233" i="1" l="1"/>
  <c r="B233" i="1" s="1"/>
  <c r="I233" i="1"/>
  <c r="P289" i="1"/>
  <c r="D234" i="1" l="1"/>
  <c r="J234" i="1" s="1"/>
  <c r="F234" i="1" l="1"/>
  <c r="H234" i="1" s="1"/>
  <c r="I234" i="1" s="1"/>
  <c r="K234" i="1"/>
  <c r="C234" i="1" l="1"/>
  <c r="B234" i="1" s="1"/>
  <c r="D235" i="1" l="1"/>
  <c r="J235" i="1" s="1"/>
  <c r="F235" i="1"/>
  <c r="K235" i="1" l="1"/>
  <c r="H235" i="1"/>
  <c r="I235" i="1" s="1"/>
  <c r="C235" i="1"/>
  <c r="B235" i="1" s="1"/>
  <c r="D236" i="1" l="1"/>
  <c r="K236" i="1" s="1"/>
  <c r="F236" i="1" l="1"/>
  <c r="J236" i="1"/>
  <c r="H236" i="1" l="1"/>
  <c r="I236" i="1" s="1"/>
  <c r="C236" i="1"/>
  <c r="B236" i="1" s="1"/>
  <c r="D237" i="1" l="1"/>
  <c r="K237" i="1" s="1"/>
  <c r="J237" i="1" l="1"/>
  <c r="F237" i="1"/>
  <c r="H237" i="1" s="1"/>
  <c r="I237" i="1" s="1"/>
  <c r="C237" i="1" l="1"/>
  <c r="B237" i="1" s="1"/>
  <c r="D238" i="1" s="1"/>
  <c r="K238" i="1" l="1"/>
  <c r="F238" i="1"/>
  <c r="C238" i="1" s="1"/>
  <c r="B238" i="1" s="1"/>
  <c r="J238" i="1"/>
  <c r="H238" i="1" l="1"/>
  <c r="I238" i="1" s="1"/>
  <c r="D239" i="1"/>
  <c r="K239" i="1" s="1"/>
  <c r="F239" i="1" l="1"/>
  <c r="H239" i="1" s="1"/>
  <c r="I239" i="1" s="1"/>
  <c r="J239" i="1"/>
  <c r="C239" i="1" l="1"/>
  <c r="B239" i="1" s="1"/>
  <c r="D240" i="1" s="1"/>
  <c r="K240" i="1" s="1"/>
  <c r="F240" i="1" l="1"/>
  <c r="H240" i="1" s="1"/>
  <c r="I240" i="1" s="1"/>
  <c r="J240" i="1"/>
  <c r="C240" i="1" l="1"/>
  <c r="B240" i="1" s="1"/>
  <c r="D241" i="1" s="1"/>
  <c r="M241" i="1" l="1"/>
  <c r="F241" i="1"/>
  <c r="H241" i="1" s="1"/>
  <c r="J241" i="1"/>
  <c r="R241" i="1" s="1"/>
  <c r="K241" i="1"/>
  <c r="S241" i="1" s="1"/>
  <c r="Q241" i="1" l="1"/>
  <c r="I241" i="1"/>
  <c r="O241" i="1"/>
  <c r="C241" i="1"/>
  <c r="L241" i="1" s="1"/>
  <c r="B241" i="1" l="1"/>
  <c r="D242" i="1"/>
  <c r="J242" i="1" s="1"/>
  <c r="F242" i="1"/>
  <c r="K242" i="1" l="1"/>
  <c r="B38" i="2"/>
  <c r="H242" i="1"/>
  <c r="I242" i="1" s="1"/>
  <c r="C242" i="1"/>
  <c r="B242" i="1" l="1"/>
  <c r="D38" i="2"/>
  <c r="D243" i="1" l="1"/>
  <c r="J243" i="1" s="1"/>
  <c r="F243" i="1"/>
  <c r="E37" i="2"/>
  <c r="K243" i="1" l="1"/>
  <c r="H243" i="1"/>
  <c r="C243" i="1"/>
  <c r="B243" i="1" l="1"/>
  <c r="I243" i="1"/>
  <c r="D244" i="1" l="1"/>
  <c r="J244" i="1" s="1"/>
  <c r="K244" i="1" l="1"/>
  <c r="F244" i="1"/>
  <c r="H244" i="1" s="1"/>
  <c r="C244" i="1" l="1"/>
  <c r="B244" i="1" s="1"/>
  <c r="I244" i="1"/>
  <c r="D245" i="1" l="1"/>
  <c r="J245" i="1" s="1"/>
  <c r="F245" i="1" l="1"/>
  <c r="H245" i="1" s="1"/>
  <c r="I245" i="1" s="1"/>
  <c r="K245" i="1"/>
  <c r="C245" i="1" l="1"/>
  <c r="B245" i="1" s="1"/>
  <c r="D246" i="1" l="1"/>
  <c r="J246" i="1" s="1"/>
  <c r="C42" i="2"/>
  <c r="F246" i="1" l="1"/>
  <c r="K246" i="1"/>
  <c r="P301" i="1"/>
  <c r="H246" i="1" l="1"/>
  <c r="I246" i="1" s="1"/>
  <c r="C246" i="1"/>
  <c r="B246" i="1" l="1"/>
  <c r="D247" i="1" l="1"/>
  <c r="J247" i="1" s="1"/>
  <c r="K247" i="1" l="1"/>
  <c r="F247" i="1"/>
  <c r="H247" i="1" s="1"/>
  <c r="I247" i="1" s="1"/>
  <c r="C247" i="1" l="1"/>
  <c r="B247" i="1" s="1"/>
  <c r="D248" i="1" s="1"/>
  <c r="J248" i="1" s="1"/>
  <c r="F248" i="1" l="1"/>
  <c r="H248" i="1" s="1"/>
  <c r="I248" i="1" s="1"/>
  <c r="K248" i="1"/>
  <c r="C248" i="1" l="1"/>
  <c r="B248" i="1" s="1"/>
  <c r="D249" i="1" s="1"/>
  <c r="K249" i="1" s="1"/>
  <c r="F249" i="1" l="1"/>
  <c r="J249" i="1"/>
  <c r="H249" i="1" l="1"/>
  <c r="I249" i="1" s="1"/>
  <c r="C249" i="1"/>
  <c r="B249" i="1" s="1"/>
  <c r="D250" i="1" l="1"/>
  <c r="J250" i="1" s="1"/>
  <c r="F250" i="1" l="1"/>
  <c r="H250" i="1" s="1"/>
  <c r="I250" i="1" s="1"/>
  <c r="K250" i="1"/>
  <c r="C250" i="1" l="1"/>
  <c r="B250" i="1" s="1"/>
  <c r="D251" i="1" s="1"/>
  <c r="F251" i="1" s="1"/>
  <c r="J251" i="1" l="1"/>
  <c r="K251" i="1"/>
  <c r="H251" i="1"/>
  <c r="I251" i="1" s="1"/>
  <c r="C251" i="1"/>
  <c r="B251" i="1" s="1"/>
  <c r="D252" i="1" l="1"/>
  <c r="J252" i="1" s="1"/>
  <c r="K252" i="1" l="1"/>
  <c r="F252" i="1"/>
  <c r="H252" i="1" s="1"/>
  <c r="I252" i="1" s="1"/>
  <c r="C252" i="1" l="1"/>
  <c r="B252" i="1" s="1"/>
  <c r="D253" i="1" s="1"/>
  <c r="M253" i="1" s="1"/>
  <c r="K253" i="1" l="1"/>
  <c r="S253" i="1" s="1"/>
  <c r="J253" i="1"/>
  <c r="R253" i="1" s="1"/>
  <c r="F253" i="1"/>
  <c r="C253" i="1" s="1"/>
  <c r="H253" i="1" l="1"/>
  <c r="O253" i="1"/>
  <c r="L253" i="1"/>
  <c r="B253" i="1"/>
  <c r="Q253" i="1" l="1"/>
  <c r="I253" i="1"/>
  <c r="D254" i="1"/>
  <c r="K254" i="1" s="1"/>
  <c r="J254" i="1"/>
  <c r="F254" i="1"/>
  <c r="B39" i="2" l="1"/>
  <c r="C254" i="1"/>
  <c r="H254" i="1"/>
  <c r="I254" i="1" s="1"/>
  <c r="D39" i="2" l="1"/>
  <c r="B254" i="1"/>
  <c r="D255" i="1" l="1"/>
  <c r="K255" i="1" s="1"/>
  <c r="E38" i="2"/>
  <c r="F255" i="1" l="1"/>
  <c r="J255" i="1"/>
  <c r="H255" i="1" l="1"/>
  <c r="C255" i="1"/>
  <c r="B255" i="1" l="1"/>
  <c r="I255" i="1"/>
  <c r="D256" i="1" l="1"/>
  <c r="K256" i="1" s="1"/>
  <c r="F256" i="1"/>
  <c r="J256" i="1" l="1"/>
  <c r="H256" i="1"/>
  <c r="C256" i="1"/>
  <c r="B256" i="1" l="1"/>
  <c r="I256" i="1"/>
  <c r="D257" i="1" l="1"/>
  <c r="K257" i="1" s="1"/>
  <c r="J257" i="1"/>
  <c r="F257" i="1"/>
  <c r="H257" i="1" l="1"/>
  <c r="I257" i="1" s="1"/>
  <c r="C257" i="1"/>
  <c r="B257" i="1" l="1"/>
  <c r="C43" i="2"/>
  <c r="D258" i="1" l="1"/>
  <c r="K258" i="1" s="1"/>
  <c r="P313" i="1"/>
  <c r="F258" i="1" l="1"/>
  <c r="J258" i="1"/>
  <c r="H258" i="1" l="1"/>
  <c r="I258" i="1" s="1"/>
  <c r="C258" i="1"/>
  <c r="B258" i="1" l="1"/>
  <c r="D259" i="1" l="1"/>
  <c r="K259" i="1" s="1"/>
  <c r="J259" i="1" l="1"/>
  <c r="F259" i="1"/>
  <c r="H259" i="1" l="1"/>
  <c r="I259" i="1" s="1"/>
  <c r="C259" i="1"/>
  <c r="B259" i="1" s="1"/>
  <c r="D260" i="1" l="1"/>
  <c r="K260" i="1" s="1"/>
  <c r="J260" i="1" l="1"/>
  <c r="F260" i="1"/>
  <c r="H260" i="1" l="1"/>
  <c r="I260" i="1" s="1"/>
  <c r="C260" i="1"/>
  <c r="B260" i="1" s="1"/>
  <c r="D261" i="1" l="1"/>
  <c r="J261" i="1" s="1"/>
  <c r="F261" i="1"/>
  <c r="K261" i="1" l="1"/>
  <c r="H261" i="1"/>
  <c r="I261" i="1" s="1"/>
  <c r="C261" i="1"/>
  <c r="B261" i="1" s="1"/>
  <c r="D262" i="1" l="1"/>
  <c r="K262" i="1" s="1"/>
  <c r="J262" i="1" l="1"/>
  <c r="F262" i="1"/>
  <c r="H262" i="1" l="1"/>
  <c r="I262" i="1" s="1"/>
  <c r="C262" i="1"/>
  <c r="B262" i="1" s="1"/>
  <c r="D263" i="1" l="1"/>
  <c r="J263" i="1" s="1"/>
  <c r="K263" i="1" l="1"/>
  <c r="F263" i="1"/>
  <c r="H263" i="1" l="1"/>
  <c r="I263" i="1" s="1"/>
  <c r="C263" i="1"/>
  <c r="B263" i="1" s="1"/>
  <c r="D264" i="1" l="1"/>
  <c r="K264" i="1" s="1"/>
  <c r="J264" i="1"/>
  <c r="F264" i="1"/>
  <c r="H264" i="1" l="1"/>
  <c r="I264" i="1" s="1"/>
  <c r="C264" i="1"/>
  <c r="B264" i="1" s="1"/>
  <c r="D265" i="1" l="1"/>
  <c r="M265" i="1" s="1"/>
  <c r="K265" i="1" l="1"/>
  <c r="S265" i="1" s="1"/>
  <c r="J265" i="1"/>
  <c r="R265" i="1" s="1"/>
  <c r="F265" i="1"/>
  <c r="H265" i="1" l="1"/>
  <c r="C265" i="1"/>
  <c r="O265" i="1"/>
  <c r="Q265" i="1" l="1"/>
  <c r="I265" i="1"/>
  <c r="I326" i="1" s="1"/>
  <c r="L265" i="1"/>
  <c r="B265" i="1"/>
  <c r="D266" i="1" l="1"/>
  <c r="K266" i="1" s="1"/>
  <c r="J266" i="1" l="1"/>
  <c r="F266" i="1"/>
  <c r="C266" i="1" s="1"/>
  <c r="B40" i="2" l="1"/>
  <c r="H266" i="1"/>
  <c r="D40" i="2" s="1"/>
  <c r="B266" i="1"/>
  <c r="D267" i="1" l="1"/>
  <c r="K267" i="1" s="1"/>
  <c r="E39" i="2"/>
  <c r="J267" i="1" l="1"/>
  <c r="F267" i="1"/>
  <c r="H267" i="1" l="1"/>
  <c r="C267" i="1"/>
  <c r="B267" i="1" l="1"/>
  <c r="D268" i="1" l="1"/>
  <c r="F268" i="1" s="1"/>
  <c r="K268" i="1" l="1"/>
  <c r="J268" i="1"/>
  <c r="H268" i="1"/>
  <c r="C268" i="1"/>
  <c r="B268" i="1" l="1"/>
  <c r="C44" i="2"/>
  <c r="G326" i="1"/>
  <c r="D269" i="1" l="1"/>
  <c r="J269" i="1" s="1"/>
  <c r="P325" i="1"/>
  <c r="G150" i="7" s="1"/>
  <c r="K269" i="1" l="1"/>
  <c r="F269" i="1"/>
  <c r="C269" i="1" s="1"/>
  <c r="H269" i="1" l="1"/>
  <c r="B269" i="1"/>
  <c r="D270" i="1" l="1"/>
  <c r="F270" i="1" s="1"/>
  <c r="H270" i="1" l="1"/>
  <c r="C270" i="1"/>
  <c r="K270" i="1"/>
  <c r="J270" i="1"/>
  <c r="B270" i="1" l="1"/>
  <c r="D271" i="1" l="1"/>
  <c r="K271" i="1" s="1"/>
  <c r="J271" i="1" l="1"/>
  <c r="F271" i="1"/>
  <c r="C271" i="1" l="1"/>
  <c r="B271" i="1" s="1"/>
  <c r="H271" i="1"/>
  <c r="D272" i="1" l="1"/>
  <c r="F272" i="1" s="1"/>
  <c r="K272" i="1" l="1"/>
  <c r="J272" i="1"/>
  <c r="H272" i="1"/>
  <c r="C272" i="1"/>
  <c r="B272" i="1" s="1"/>
  <c r="D273" i="1" l="1"/>
  <c r="J273" i="1" s="1"/>
  <c r="K273" i="1" l="1"/>
  <c r="F273" i="1"/>
  <c r="C273" i="1" s="1"/>
  <c r="B273" i="1" s="1"/>
  <c r="H273" i="1" l="1"/>
  <c r="D274" i="1"/>
  <c r="J274" i="1" s="1"/>
  <c r="K274" i="1" l="1"/>
  <c r="F274" i="1"/>
  <c r="C274" i="1" s="1"/>
  <c r="B274" i="1" s="1"/>
  <c r="H274" i="1" l="1"/>
  <c r="D275" i="1"/>
  <c r="K275" i="1" s="1"/>
  <c r="J275" i="1" l="1"/>
  <c r="F275" i="1"/>
  <c r="H275" i="1" s="1"/>
  <c r="C275" i="1" l="1"/>
  <c r="B275" i="1" s="1"/>
  <c r="D276" i="1" s="1"/>
  <c r="F276" i="1" s="1"/>
  <c r="K276" i="1" l="1"/>
  <c r="J276" i="1"/>
  <c r="H276" i="1"/>
  <c r="C276" i="1"/>
  <c r="B276" i="1" s="1"/>
  <c r="D277" i="1" l="1"/>
  <c r="M277" i="1" s="1"/>
  <c r="F277" i="1" l="1"/>
  <c r="J277" i="1"/>
  <c r="R277" i="1" s="1"/>
  <c r="K277" i="1"/>
  <c r="S277" i="1" s="1"/>
  <c r="C277" i="1" l="1"/>
  <c r="H277" i="1"/>
  <c r="Q277" i="1" s="1"/>
  <c r="O277" i="1"/>
  <c r="L277" i="1" l="1"/>
  <c r="B277" i="1"/>
  <c r="D278" i="1" l="1"/>
  <c r="J278" i="1" s="1"/>
  <c r="K278" i="1" l="1"/>
  <c r="F278" i="1"/>
  <c r="H278" i="1" s="1"/>
  <c r="D41" i="2" s="1"/>
  <c r="B41" i="2" l="1"/>
  <c r="C278" i="1"/>
  <c r="B278" i="1" s="1"/>
  <c r="D279" i="1" l="1"/>
  <c r="K279" i="1" s="1"/>
  <c r="E40" i="2"/>
  <c r="F279" i="1" l="1"/>
  <c r="J279" i="1"/>
  <c r="C279" i="1"/>
  <c r="H279" i="1"/>
  <c r="B279" i="1" l="1"/>
  <c r="D280" i="1" l="1"/>
  <c r="J280" i="1" s="1"/>
  <c r="F280" i="1" l="1"/>
  <c r="K280" i="1"/>
  <c r="H280" i="1" l="1"/>
  <c r="C280" i="1"/>
  <c r="B280" i="1" l="1"/>
  <c r="D281" i="1" l="1"/>
  <c r="K281" i="1" s="1"/>
  <c r="J281" i="1" l="1"/>
  <c r="F281" i="1"/>
  <c r="H281" i="1" s="1"/>
  <c r="C281" i="1" l="1"/>
  <c r="B281" i="1" s="1"/>
  <c r="D282" i="1" l="1"/>
  <c r="F282" i="1" s="1"/>
  <c r="K282" i="1" l="1"/>
  <c r="J282" i="1"/>
  <c r="C282" i="1"/>
  <c r="H282" i="1"/>
  <c r="B282" i="1" l="1"/>
  <c r="D283" i="1" l="1"/>
  <c r="J283" i="1" s="1"/>
  <c r="K283" i="1" l="1"/>
  <c r="F283" i="1"/>
  <c r="H283" i="1" s="1"/>
  <c r="C283" i="1" l="1"/>
  <c r="B283" i="1" s="1"/>
  <c r="D284" i="1" s="1"/>
  <c r="F284" i="1" s="1"/>
  <c r="K284" i="1" l="1"/>
  <c r="J284" i="1"/>
  <c r="H284" i="1"/>
  <c r="C284" i="1"/>
  <c r="B284" i="1" s="1"/>
  <c r="D285" i="1" l="1"/>
  <c r="J285" i="1" s="1"/>
  <c r="F285" i="1" l="1"/>
  <c r="K285" i="1"/>
  <c r="H285" i="1" l="1"/>
  <c r="C285" i="1"/>
  <c r="B285" i="1" s="1"/>
  <c r="D286" i="1" l="1"/>
  <c r="K286" i="1" s="1"/>
  <c r="J286" i="1" l="1"/>
  <c r="F286" i="1"/>
  <c r="C286" i="1" s="1"/>
  <c r="B286" i="1" s="1"/>
  <c r="H286" i="1" l="1"/>
  <c r="D287" i="1"/>
  <c r="K287" i="1" s="1"/>
  <c r="J287" i="1" l="1"/>
  <c r="F287" i="1"/>
  <c r="C287" i="1" s="1"/>
  <c r="B287" i="1" s="1"/>
  <c r="H287" i="1" l="1"/>
  <c r="D288" i="1"/>
  <c r="F288" i="1" s="1"/>
  <c r="J288" i="1" l="1"/>
  <c r="K288" i="1"/>
  <c r="C288" i="1"/>
  <c r="B288" i="1" s="1"/>
  <c r="H288" i="1"/>
  <c r="D289" i="1" l="1"/>
  <c r="M289" i="1" s="1"/>
  <c r="K289" i="1" l="1"/>
  <c r="S289" i="1" s="1"/>
  <c r="F289" i="1"/>
  <c r="H289" i="1" s="1"/>
  <c r="Q289" i="1" s="1"/>
  <c r="J289" i="1"/>
  <c r="R289" i="1" s="1"/>
  <c r="C289" i="1" l="1"/>
  <c r="L289" i="1" s="1"/>
  <c r="O289" i="1"/>
  <c r="B289" i="1" l="1"/>
  <c r="D290" i="1" s="1"/>
  <c r="J290" i="1" s="1"/>
  <c r="F290" i="1" l="1"/>
  <c r="H290" i="1" s="1"/>
  <c r="D42" i="2" s="1"/>
  <c r="K290" i="1"/>
  <c r="B42" i="2" l="1"/>
  <c r="C290" i="1"/>
  <c r="B290" i="1" s="1"/>
  <c r="D291" i="1" l="1"/>
  <c r="E41" i="2"/>
  <c r="F291" i="1" l="1"/>
  <c r="K291" i="1"/>
  <c r="J291" i="1"/>
  <c r="C291" i="1" l="1"/>
  <c r="H291" i="1"/>
  <c r="B291" i="1" l="1"/>
  <c r="D292" i="1" l="1"/>
  <c r="K292" i="1" s="1"/>
  <c r="F292" i="1" l="1"/>
  <c r="J292" i="1"/>
  <c r="C292" i="1" l="1"/>
  <c r="H292" i="1"/>
  <c r="B292" i="1" l="1"/>
  <c r="D293" i="1" l="1"/>
  <c r="F293" i="1" s="1"/>
  <c r="H293" i="1" l="1"/>
  <c r="C293" i="1"/>
  <c r="K293" i="1"/>
  <c r="J293" i="1"/>
  <c r="B293" i="1" l="1"/>
  <c r="D294" i="1" l="1"/>
  <c r="J294" i="1" s="1"/>
  <c r="F294" i="1" l="1"/>
  <c r="H294" i="1" s="1"/>
  <c r="K294" i="1"/>
  <c r="C294" i="1" l="1"/>
  <c r="B294" i="1" s="1"/>
  <c r="D295" i="1" l="1"/>
  <c r="K295" i="1" s="1"/>
  <c r="F295" i="1" l="1"/>
  <c r="J295" i="1"/>
  <c r="C295" i="1" l="1"/>
  <c r="B295" i="1" s="1"/>
  <c r="H295" i="1"/>
  <c r="D296" i="1" l="1"/>
  <c r="F296" i="1" s="1"/>
  <c r="H296" i="1" l="1"/>
  <c r="C296" i="1"/>
  <c r="B296" i="1" s="1"/>
  <c r="J296" i="1"/>
  <c r="K296" i="1"/>
  <c r="D297" i="1" l="1"/>
  <c r="J297" i="1" s="1"/>
  <c r="K297" i="1" l="1"/>
  <c r="F297" i="1"/>
  <c r="H297" i="1" l="1"/>
  <c r="C297" i="1"/>
  <c r="B297" i="1" s="1"/>
  <c r="D298" i="1" l="1"/>
  <c r="J298" i="1" s="1"/>
  <c r="K298" i="1" l="1"/>
  <c r="F298" i="1"/>
  <c r="H298" i="1" s="1"/>
  <c r="C298" i="1" l="1"/>
  <c r="B298" i="1" s="1"/>
  <c r="D299" i="1" s="1"/>
  <c r="K299" i="1" s="1"/>
  <c r="F299" i="1" l="1"/>
  <c r="J299" i="1"/>
  <c r="H299" i="1" l="1"/>
  <c r="C299" i="1"/>
  <c r="B299" i="1" s="1"/>
  <c r="D300" i="1" l="1"/>
  <c r="F300" i="1" s="1"/>
  <c r="H300" i="1" l="1"/>
  <c r="C300" i="1"/>
  <c r="B300" i="1" s="1"/>
  <c r="K300" i="1"/>
  <c r="J300" i="1"/>
  <c r="D301" i="1" l="1"/>
  <c r="M301" i="1" s="1"/>
  <c r="F301" i="1" l="1"/>
  <c r="O301" i="1" s="1"/>
  <c r="K301" i="1"/>
  <c r="S301" i="1" s="1"/>
  <c r="J301" i="1"/>
  <c r="R301" i="1" s="1"/>
  <c r="C301" i="1" l="1"/>
  <c r="L301" i="1" s="1"/>
  <c r="H301" i="1"/>
  <c r="Q301" i="1" s="1"/>
  <c r="B301" i="1" l="1"/>
  <c r="D302" i="1" s="1"/>
  <c r="K302" i="1" s="1"/>
  <c r="J302" i="1" l="1"/>
  <c r="F302" i="1"/>
  <c r="H302" i="1" s="1"/>
  <c r="D43" i="2" s="1"/>
  <c r="B43" i="2" l="1"/>
  <c r="C302" i="1"/>
  <c r="B302" i="1" s="1"/>
  <c r="D303" i="1" l="1"/>
  <c r="J303" i="1" s="1"/>
  <c r="E42" i="2"/>
  <c r="F303" i="1" l="1"/>
  <c r="C303" i="1" s="1"/>
  <c r="K303" i="1"/>
  <c r="H303" i="1" l="1"/>
  <c r="B303" i="1"/>
  <c r="D304" i="1" l="1"/>
  <c r="K304" i="1" s="1"/>
  <c r="J304" i="1" l="1"/>
  <c r="F304" i="1"/>
  <c r="H304" i="1" s="1"/>
  <c r="C304" i="1" l="1"/>
  <c r="B304" i="1" s="1"/>
  <c r="D305" i="1" l="1"/>
  <c r="F305" i="1" s="1"/>
  <c r="J305" i="1" l="1"/>
  <c r="H305" i="1"/>
  <c r="C305" i="1"/>
  <c r="K305" i="1"/>
  <c r="B305" i="1" l="1"/>
  <c r="D306" i="1" l="1"/>
  <c r="K306" i="1" s="1"/>
  <c r="F306" i="1" l="1"/>
  <c r="H306" i="1" s="1"/>
  <c r="J306" i="1"/>
  <c r="C306" i="1" l="1"/>
  <c r="B306" i="1" s="1"/>
  <c r="D307" i="1" l="1"/>
  <c r="F307" i="1" s="1"/>
  <c r="C307" i="1" l="1"/>
  <c r="B307" i="1" s="1"/>
  <c r="H307" i="1"/>
  <c r="K307" i="1"/>
  <c r="J307" i="1"/>
  <c r="D308" i="1" l="1"/>
  <c r="K308" i="1" s="1"/>
  <c r="J308" i="1" l="1"/>
  <c r="F308" i="1"/>
  <c r="H308" i="1" l="1"/>
  <c r="C308" i="1"/>
  <c r="B308" i="1" s="1"/>
  <c r="D309" i="1" l="1"/>
  <c r="K309" i="1" s="1"/>
  <c r="J309" i="1" l="1"/>
  <c r="F309" i="1"/>
  <c r="H309" i="1" l="1"/>
  <c r="C309" i="1"/>
  <c r="B309" i="1" s="1"/>
  <c r="D310" i="1" l="1"/>
  <c r="F310" i="1" s="1"/>
  <c r="K310" i="1" l="1"/>
  <c r="J310" i="1"/>
  <c r="H310" i="1"/>
  <c r="C310" i="1"/>
  <c r="B310" i="1" s="1"/>
  <c r="D311" i="1" l="1"/>
  <c r="J311" i="1" s="1"/>
  <c r="F311" i="1" l="1"/>
  <c r="H311" i="1" s="1"/>
  <c r="K311" i="1"/>
  <c r="C311" i="1" l="1"/>
  <c r="B311" i="1" s="1"/>
  <c r="D312" i="1" s="1"/>
  <c r="F312" i="1" s="1"/>
  <c r="K312" i="1" l="1"/>
  <c r="H312" i="1"/>
  <c r="C312" i="1"/>
  <c r="B312" i="1" s="1"/>
  <c r="J312" i="1"/>
  <c r="D313" i="1" l="1"/>
  <c r="M313" i="1" s="1"/>
  <c r="K313" i="1" l="1"/>
  <c r="S313" i="1" s="1"/>
  <c r="J313" i="1"/>
  <c r="R313" i="1" s="1"/>
  <c r="F313" i="1"/>
  <c r="H313" i="1" l="1"/>
  <c r="Q313" i="1" s="1"/>
  <c r="C313" i="1"/>
  <c r="O313" i="1"/>
  <c r="L313" i="1" l="1"/>
  <c r="B313" i="1"/>
  <c r="D314" i="1" l="1"/>
  <c r="K314" i="1" s="1"/>
  <c r="F314" i="1" l="1"/>
  <c r="C314" i="1" s="1"/>
  <c r="J314" i="1"/>
  <c r="B44" i="2" l="1"/>
  <c r="H314" i="1"/>
  <c r="D44" i="2" s="1"/>
  <c r="B314" i="1"/>
  <c r="D315" i="1" l="1"/>
  <c r="K315" i="1" s="1"/>
  <c r="E43" i="2"/>
  <c r="F315" i="1" l="1"/>
  <c r="C315" i="1" s="1"/>
  <c r="J315" i="1"/>
  <c r="H315" i="1" l="1"/>
  <c r="B315" i="1"/>
  <c r="D316" i="1" l="1"/>
  <c r="K316" i="1" s="1"/>
  <c r="F316" i="1" l="1"/>
  <c r="C316" i="1" s="1"/>
  <c r="J316" i="1"/>
  <c r="H316" i="1" l="1"/>
  <c r="B316" i="1"/>
  <c r="D317" i="1" l="1"/>
  <c r="K317" i="1" s="1"/>
  <c r="J317" i="1" l="1"/>
  <c r="F317" i="1"/>
  <c r="H317" i="1" s="1"/>
  <c r="C317" i="1" l="1"/>
  <c r="B317" i="1" s="1"/>
  <c r="D318" i="1" l="1"/>
  <c r="K318" i="1" s="1"/>
  <c r="F318" i="1" l="1"/>
  <c r="C318" i="1" s="1"/>
  <c r="J318" i="1"/>
  <c r="H318" i="1" l="1"/>
  <c r="B318" i="1"/>
  <c r="D319" i="1" l="1"/>
  <c r="K319" i="1" s="1"/>
  <c r="J319" i="1" l="1"/>
  <c r="F319" i="1"/>
  <c r="H319" i="1" s="1"/>
  <c r="C319" i="1" l="1"/>
  <c r="B319" i="1" s="1"/>
  <c r="D320" i="1" s="1"/>
  <c r="F320" i="1" s="1"/>
  <c r="K320" i="1" l="1"/>
  <c r="J320" i="1"/>
  <c r="H320" i="1"/>
  <c r="C320" i="1"/>
  <c r="B320" i="1" s="1"/>
  <c r="D321" i="1" l="1"/>
  <c r="F321" i="1" s="1"/>
  <c r="C321" i="1" l="1"/>
  <c r="B321" i="1" s="1"/>
  <c r="H321" i="1"/>
  <c r="J321" i="1"/>
  <c r="K321" i="1"/>
  <c r="D322" i="1" l="1"/>
  <c r="K322" i="1" s="1"/>
  <c r="J322" i="1" l="1"/>
  <c r="F322" i="1"/>
  <c r="H322" i="1" l="1"/>
  <c r="C322" i="1"/>
  <c r="B322" i="1" s="1"/>
  <c r="D323" i="1" l="1"/>
  <c r="K323" i="1" s="1"/>
  <c r="F323" i="1" l="1"/>
  <c r="C323" i="1" s="1"/>
  <c r="B323" i="1" s="1"/>
  <c r="J323" i="1"/>
  <c r="H323" i="1" l="1"/>
  <c r="D324" i="1"/>
  <c r="J324" i="1" s="1"/>
  <c r="K324" i="1" l="1"/>
  <c r="F324" i="1"/>
  <c r="H324" i="1" l="1"/>
  <c r="C324" i="1"/>
  <c r="B324" i="1" s="1"/>
  <c r="D325" i="1" l="1"/>
  <c r="J325" i="1" s="1"/>
  <c r="K325" i="1" l="1"/>
  <c r="L15" i="1" s="1"/>
  <c r="K15" i="1" s="1"/>
  <c r="F325" i="1"/>
  <c r="O325" i="1" s="1"/>
  <c r="F150" i="7" s="1"/>
  <c r="J326" i="1"/>
  <c r="L14" i="1"/>
  <c r="K14" i="1" s="1"/>
  <c r="R325" i="1"/>
  <c r="D326" i="1"/>
  <c r="C22" i="1" s="1"/>
  <c r="M325" i="1"/>
  <c r="E150" i="7" s="1"/>
  <c r="H325" i="1" l="1"/>
  <c r="Q325" i="1" s="1"/>
  <c r="H150" i="7" s="1"/>
  <c r="C325" i="1"/>
  <c r="L325" i="1" s="1"/>
  <c r="D150" i="7" s="1"/>
  <c r="S325" i="1"/>
  <c r="I150" i="7" s="1"/>
  <c r="F326" i="1"/>
  <c r="C326" i="1" s="1"/>
  <c r="K326" i="1"/>
  <c r="C21" i="1"/>
  <c r="C22" i="10"/>
  <c r="G81" i="7"/>
  <c r="B325" i="1" l="1"/>
  <c r="H326" i="1"/>
  <c r="B80" i="7"/>
  <c r="C21" i="10"/>
</calcChain>
</file>

<file path=xl/sharedStrings.xml><?xml version="1.0" encoding="utf-8"?>
<sst xmlns="http://schemas.openxmlformats.org/spreadsheetml/2006/main" count="530" uniqueCount="310">
  <si>
    <t>Hitelösszeg</t>
  </si>
  <si>
    <t>Kezelési költség</t>
  </si>
  <si>
    <t>min.</t>
  </si>
  <si>
    <t>max.</t>
  </si>
  <si>
    <t>Fizetési gyakoriság</t>
  </si>
  <si>
    <t>Időszak</t>
  </si>
  <si>
    <t>Tőkeegyenleg</t>
  </si>
  <si>
    <t>Tőke törlesztés</t>
  </si>
  <si>
    <t>Törlesztőrészlet</t>
  </si>
  <si>
    <t>Törlesztőrészlet + kezelési költség</t>
  </si>
  <si>
    <t>Összesen</t>
  </si>
  <si>
    <t>THM %</t>
  </si>
  <si>
    <t>Év</t>
  </si>
  <si>
    <t>havi</t>
  </si>
  <si>
    <t>negyedéves</t>
  </si>
  <si>
    <t>Törlesztési ütemezés</t>
  </si>
  <si>
    <t>- kezelési költség</t>
  </si>
  <si>
    <t>Összesen:</t>
  </si>
  <si>
    <t>Az adatok tájékoztató jellegűek, nyilvános ajánlattételnek nem tekinthetők!</t>
  </si>
  <si>
    <t>fizetendő összege</t>
  </si>
  <si>
    <t>Konstrukció neve</t>
  </si>
  <si>
    <t>Folyósítási jutalék</t>
  </si>
  <si>
    <t>Kezelési költség (havi)</t>
  </si>
  <si>
    <t>Helyszíni szemle díja</t>
  </si>
  <si>
    <t>Értékbecslés díja</t>
  </si>
  <si>
    <t>Futamidő (hónap)</t>
  </si>
  <si>
    <t>Türelmi idő (hónap)</t>
  </si>
  <si>
    <t>Kiegészítő kamattámogatás</t>
  </si>
  <si>
    <t>Ügyfél által fizetendő kamat összege</t>
  </si>
  <si>
    <t>ERSTE törlesztési védelem</t>
  </si>
  <si>
    <t>Csomag neve</t>
  </si>
  <si>
    <t>Csomag díja</t>
  </si>
  <si>
    <t>Teljes csomag</t>
  </si>
  <si>
    <t>Baleseti csomag</t>
  </si>
  <si>
    <t>Csatlakozási nyilatkozat</t>
  </si>
  <si>
    <t>Munkanélküliségi és keresőképtelenségi csomag</t>
  </si>
  <si>
    <t>Magatartás kódex szerint</t>
  </si>
  <si>
    <t>Magatartás Kódex szerint</t>
  </si>
  <si>
    <t>Törlesztőrészlet Kamatemelés 1. esetén</t>
  </si>
  <si>
    <t>Törlesztőrészlet Kamatemelés 2. esetén</t>
  </si>
  <si>
    <t>Kamatemelés 2.:</t>
  </si>
  <si>
    <t>Kamatemelés 1.:</t>
  </si>
  <si>
    <t>………………………………………………………..</t>
  </si>
  <si>
    <t>A tájékoztatót átvettem.</t>
  </si>
  <si>
    <t>Törlesztési táblázatok</t>
  </si>
  <si>
    <t>1. A kölcsön első évi pénzáramlásai havi bontásban</t>
  </si>
  <si>
    <t>2. A kölcsön pénzáramlásai éves bontásban</t>
  </si>
  <si>
    <t>Név:</t>
  </si>
  <si>
    <t>Lakcím</t>
  </si>
  <si>
    <t>Szig.szám</t>
  </si>
  <si>
    <t>1.</t>
  </si>
  <si>
    <t>A hitelezővel kapcsolatos adatok:</t>
  </si>
  <si>
    <t>1.1</t>
  </si>
  <si>
    <t xml:space="preserve">2. </t>
  </si>
  <si>
    <t>A jelzáloghitellel kapcsolatos adatok:</t>
  </si>
  <si>
    <t>2.1</t>
  </si>
  <si>
    <t xml:space="preserve">2.2. </t>
  </si>
  <si>
    <t xml:space="preserve">2.3. </t>
  </si>
  <si>
    <t xml:space="preserve">2.5. </t>
  </si>
  <si>
    <t xml:space="preserve">2.6. </t>
  </si>
  <si>
    <t xml:space="preserve">2.7. </t>
  </si>
  <si>
    <t xml:space="preserve">2.8. </t>
  </si>
  <si>
    <t>2.9.</t>
  </si>
  <si>
    <t>Időszak (hó)</t>
  </si>
  <si>
    <t>Tőkeegyenleg az adott időszak végén</t>
  </si>
  <si>
    <t>Kamat törlesztés</t>
  </si>
  <si>
    <t>Kamat + tőke</t>
  </si>
  <si>
    <t>Az első év összesítve</t>
  </si>
  <si>
    <t>Folyósítás (0)</t>
  </si>
  <si>
    <t>Időszak (év)</t>
  </si>
  <si>
    <t>Összesítve</t>
  </si>
  <si>
    <t>Törlesztőrészlet Forintban</t>
  </si>
  <si>
    <t>Ingatlan-nyilvántartási eljárás díja</t>
  </si>
  <si>
    <t>Törlesztőrészlet + kezelési költség + havi számlavezetési díj</t>
  </si>
  <si>
    <t>1.2</t>
  </si>
  <si>
    <t>Csomag tartalma</t>
  </si>
  <si>
    <t>Szükséges nyilatkozatok*</t>
  </si>
  <si>
    <t>Folyósítási jutalék (egyszeri)</t>
  </si>
  <si>
    <t>türelmi idő (hó)</t>
  </si>
  <si>
    <t>Kamat (éves)</t>
  </si>
  <si>
    <t>Havi törlesztés az 1. ügyleti évben:</t>
  </si>
  <si>
    <t>- kamat + tőke</t>
  </si>
  <si>
    <t>Kamat mértéke 
a futamidő első 5 évében</t>
  </si>
  <si>
    <t>türelmi idő választó</t>
  </si>
  <si>
    <t>Számlavezetés használati költség</t>
  </si>
  <si>
    <t>Szükséges nyilatkozatok</t>
  </si>
  <si>
    <t>Otthonteremtési kamattámogatás</t>
  </si>
  <si>
    <t>A hiteligénylés részletes feltételei a Lakossági Hitel Hirdetményben és az Ügyféltájékoztatókban olvashatók.</t>
  </si>
  <si>
    <t xml:space="preserve">Felhívjuk a figyelmet, hogy a következő dokumentációban feltüntetett adatok a készítés időpontjában érvényes adatok figyelembe vételével kerültek meghatározásra, azok a később megkötendő kölcsönszerződés adataitól eltérhetnek. </t>
  </si>
  <si>
    <t>…………………………………………………………………………..</t>
  </si>
  <si>
    <t>Tanácsadó aláírása</t>
  </si>
  <si>
    <t>A Bank a THM számítása során egy feltételezett számla használatának költségét számolja fel, mely az adott hiteltermékhez feltételéül szükséges minimális feltételeket biztosítja. A Bank ennek alapján egy átlagos használati költséget állapított meg, mint a számlavezetés használatának költsége.</t>
  </si>
  <si>
    <t>1. THM:</t>
  </si>
  <si>
    <t>2. THM:</t>
  </si>
  <si>
    <t>felár</t>
  </si>
  <si>
    <t>KSH nettó munkabér</t>
  </si>
  <si>
    <t>KSH munkabér a következő évre vonatkozik</t>
  </si>
  <si>
    <t>Hitelközvetítő neve és székhelye:</t>
  </si>
  <si>
    <t>Adós aláírása</t>
  </si>
  <si>
    <t>Adóstárs aláírása</t>
  </si>
  <si>
    <t>A törlesztőrészletek rendszeres jövedelemhez viszonyított arányának várható változása a rendszeres jövedelem, valamint a kamat változásának függvényében.</t>
  </si>
  <si>
    <t xml:space="preserve"> A hitel típusa:</t>
  </si>
  <si>
    <t xml:space="preserve">A hitel összege: </t>
  </si>
  <si>
    <t>A hitel futamideje:</t>
  </si>
  <si>
    <t>A hitel kamata:</t>
  </si>
  <si>
    <t>*</t>
  </si>
  <si>
    <t xml:space="preserve"> </t>
  </si>
  <si>
    <t xml:space="preserve"> Kamat emelkedése</t>
  </si>
  <si>
    <t xml:space="preserve"> Rendszeres jövedelem** változása</t>
  </si>
  <si>
    <t xml:space="preserve"> -30% változás</t>
  </si>
  <si>
    <t xml:space="preserve"> -20% változás</t>
  </si>
  <si>
    <t xml:space="preserve"> -10% változás</t>
  </si>
  <si>
    <t xml:space="preserve"> 0% változás</t>
  </si>
  <si>
    <t xml:space="preserve"> +10% változás</t>
  </si>
  <si>
    <t xml:space="preserve"> +20% változás</t>
  </si>
  <si>
    <t xml:space="preserve"> +30% változás</t>
  </si>
  <si>
    <t>* A hitel kamata:</t>
  </si>
  <si>
    <t>Kamat a támogatott időszakban</t>
  </si>
  <si>
    <t>Kamat a támogatott időszak után</t>
  </si>
  <si>
    <t>SZUM</t>
  </si>
  <si>
    <t>Támogatott/ nem támogatott időszak átlaga</t>
  </si>
  <si>
    <t>5 éves ÁKK x 130% + 1,3%</t>
  </si>
  <si>
    <t>6 havi BUBOR</t>
  </si>
  <si>
    <t>végig 5Y</t>
  </si>
  <si>
    <t>Otthonteremtési kamattám. 5 éves kamat periódussal</t>
  </si>
  <si>
    <t>3 vagy több gyermekes cs.otthonteremtési kamattám.-5 éves kamat periódussal</t>
  </si>
  <si>
    <t>I. Általános tájékoztatás a jelzáloghitelekről
(A fogyasztónak nyújtott hitelről szóló 2009. évi CLXII. Törvény és a 3/2016. (I. 7.) NGM rendelet
a jelzáloghitelre vonatkozó tájékoztatás szabályairól
 alapján)</t>
  </si>
  <si>
    <t>Ügyfél neve:</t>
  </si>
  <si>
    <t>2.4.</t>
  </si>
  <si>
    <t>A fogyasztó által fizetendő teljes összeg:</t>
  </si>
  <si>
    <t xml:space="preserve">THM: </t>
  </si>
  <si>
    <t xml:space="preserve">A fogyasztó által fizetendő teljes összeg: </t>
  </si>
  <si>
    <t>A hitel teljes díjába bele nem számított további költségek és díjak:</t>
  </si>
  <si>
    <t>2.10.</t>
  </si>
  <si>
    <t>2.11.</t>
  </si>
  <si>
    <t>2.12.</t>
  </si>
  <si>
    <t>2.13.</t>
  </si>
  <si>
    <t xml:space="preserve">2.14. </t>
  </si>
  <si>
    <t>Ez a dokumentum</t>
  </si>
  <si>
    <t>Ez a dokumentum az Ön által ezidáig megadott adatok és a jelenlegi pénzügyi piaci feltételek alapján készült.</t>
  </si>
  <si>
    <t>Az alábbi tájékoztatás</t>
  </si>
  <si>
    <t>napjáig érvényes. Ezt követően a piaci feltételek függvényében változhat.</t>
  </si>
  <si>
    <t xml:space="preserve"> 1. Hitelező
1.1. A hitelező neve, telefonszáma és levelezési címe</t>
  </si>
  <si>
    <t>2. A hitelközvetítő
2.1.</t>
  </si>
  <si>
    <t>2.2. A hitelközvetítő jutaléka</t>
  </si>
  <si>
    <t xml:space="preserve"> 3. A hitel fő jellemzői
3.1. A hitel összege és pénzneme</t>
  </si>
  <si>
    <t>A hitelkamatlábbal összefüggő potenciális kockázatok</t>
  </si>
  <si>
    <t>3.2. A hitel futamideje</t>
  </si>
  <si>
    <t>3.3.A hitel típusa</t>
  </si>
  <si>
    <t>3.4. Az alkalmazandó kamatláb típusa</t>
  </si>
  <si>
    <t>3.5. A fizetendő teljes összeg</t>
  </si>
  <si>
    <t>A fizetendő teljes összeg:</t>
  </si>
  <si>
    <t>A hitel teljes díja:</t>
  </si>
  <si>
    <t>A fizetendő teljes összegből a hitel teljes díja:</t>
  </si>
  <si>
    <t>3.6. A hitel biztosítéka</t>
  </si>
  <si>
    <t>3.7. Az igénybe vehető maximális hitelösszeg az ingatlan értékéhez viszonyítva</t>
  </si>
  <si>
    <t>4. Kamat és egyéb költségek</t>
  </si>
  <si>
    <t>Az Ön hitelére érvényes THM:</t>
  </si>
  <si>
    <t>A THM az alábbiakat tartalmazza:</t>
  </si>
  <si>
    <t>Értékbecslés díja:</t>
  </si>
  <si>
    <t>A Bank a hitel folyósítását követően visszatéríti az értékbecslés végzésekor az értékbecslőnek számla ellenében kifizetett díjat.</t>
  </si>
  <si>
    <t>Folyósítási jutalék:</t>
  </si>
  <si>
    <t>A Bank akció keretében nem számítja fel a folyósításra kerül összeg 1%-a, de maximum 200 000 Ft folyósítási jutalékot.</t>
  </si>
  <si>
    <t>Rendszeres költségek:</t>
  </si>
  <si>
    <t>Számlavezetés használati költsége:</t>
  </si>
  <si>
    <t>5. Törlesztések gyakorisága és száma:</t>
  </si>
  <si>
    <t>6. Az egyes törlesztőrészletek összege</t>
  </si>
  <si>
    <t xml:space="preserve"> 13. Szemléltető törlesztési táblázat</t>
  </si>
  <si>
    <t>A oszlop</t>
  </si>
  <si>
    <t>B oszlop</t>
  </si>
  <si>
    <t>C oszlop</t>
  </si>
  <si>
    <t>D oszlop</t>
  </si>
  <si>
    <t>E oszlop</t>
  </si>
  <si>
    <t>F oszlop</t>
  </si>
  <si>
    <t>G oszlop</t>
  </si>
  <si>
    <t>H oszlop</t>
  </si>
  <si>
    <t>8. További kötelezettségek</t>
  </si>
  <si>
    <t>9. Előtörlesztés</t>
  </si>
  <si>
    <t>10. Rugalmas elemek</t>
  </si>
  <si>
    <t>Amennyiben más hitelező által nyújtott kölcsönből (hitelkiváltás) végtörleszti a hitelét, a hitel lezárásának feltétele a Bank formanyomtatványán, személyesen benyújtott végtörlesztési kérelem és a végtörlesztéshez szükséges összeg Bank által megadott bankszámlán történő biztosítása a végtörlesztési kérelmen megjelölt időpontra. A fedezetcsere feltétele a Bank belső szabályzataiban rögzítetteknek megfelelő fedezeti ingatlan biztosítása és a Bank formanyomtatványán, személyesen átadott fedezetcsere kérelem. A kérelem elfogadásáról a Bank a mindenkor hatályos jogszabályoknak és belső szabályzatainak megfelelően dönt.</t>
  </si>
  <si>
    <t>11. A fogyasztó egyéb jogai</t>
  </si>
  <si>
    <t>12. Panaszok</t>
  </si>
  <si>
    <t>13. A hitelhez kapcsolódó kötelezettségeknek való nem megfelelés következményei a fogyasztóra nézve</t>
  </si>
  <si>
    <t>14. A felügyelet</t>
  </si>
  <si>
    <t>A hitelközvetítő a Magyar Nemzeti Bank, http://www.mnb.hu/felugyelet alá tartozik.</t>
  </si>
  <si>
    <t>A hitelező a Magyar Nemzeti Bank, http://www.mnb.hu/felugyelet alá tartozik.</t>
  </si>
  <si>
    <t xml:space="preserve">Alulírott nyilatkozom, hogy a kérelem tárgyát képező hiteltermékkel kapcsolatban teljes körű és korrekt, számomra egyértelmű és érthető tájékoztatást kaptam a termék a termék jellemzőivel, kondícióival kapcsolatban. Alulírott nyilatkozom, hogy a 56/2014 (XII.31.) NGM rendelet szerinti tájékoztatást teljeskörűen megkaptam. </t>
  </si>
  <si>
    <t>Zálogkötelezett aláírása</t>
  </si>
  <si>
    <t xml:space="preserve">A hitel típusa: kamattámogatott lakáshitel annuitásos törlesztéssel, ahol a havi törlesztőrészletek összege állandó, a törlesztőrészleten belül a kamat és tőke aránya változó. </t>
  </si>
  <si>
    <t>Szerzési jutalék és fenntartási jutalék.</t>
  </si>
  <si>
    <t>szerzési jutalék, az igényelt hitelösszeg 1,6%-a.</t>
  </si>
  <si>
    <t>fenntartási jutalék, az igényelt hitelösszeg 0.4%-a, amennyiben a közvetítő teljesíti a megbízási szerződésben szereplő minőségi kritériumokat</t>
  </si>
  <si>
    <t>Szerzési jutalék esetén amikor a hitel folyósítása megtörtént, fenntartási jutaléknál a kölcsön folyósítását követő első ügyleti év leteltét követően 
a) az 5 (öt) évet elérő vagy azt meghaladó és a 10 (tíz) évet elérő, de azt meg nem haladó jelzálogalapú lakossági kölcsönöknél legfeljebb 2 (kettő) évig,
b) a 10 (tíz) évet meghaladó jelzálogalapú lakossági kölcsönöknél az adott ügylet futamidejének az 1/5-ig (egy ötödéig)
évente egyenlő részletekben fizet.</t>
  </si>
  <si>
    <t>Hitelközvetítő levelezési címe:</t>
  </si>
  <si>
    <t>Hitelközvetítő telefonszáma:</t>
  </si>
  <si>
    <t>A hitelközvetítő díjázasának módja:</t>
  </si>
  <si>
    <t>A hitelközvetítő jutalékának összege:</t>
  </si>
  <si>
    <t>A hitelközvetítő jutalékának esedékessége:</t>
  </si>
  <si>
    <t>Az aktuális Lakossági Hitel Hirdetmény 8. sz. mellékletében közzétett kamat.</t>
  </si>
  <si>
    <t>Közvetítői alvállalkozó neve (cégneve) és székhelye:</t>
  </si>
  <si>
    <t xml:space="preserve">Ebben a táblázatban a havi fizetendő összeg látható. A törlesztőrészletek (G. oszlop) a fizetendő kamat (D. oszlop), adott esetben a fizetendő tőke ( C. oszlop) és adott esetben az egyéb költségek (F. oszlop) összegéből állnak. A fennmaradó tőke (B. oszlop) az egyes törlesztőrészletek után még törlesztendő hitelösszeg.
Az éves bontású törlesztési táblázatban kiemelve, eltérő háttérrel jelenítettük meg az első kamatperiódust. A kölcsön kamata a 61. hónaptól változhat a mindekori jogszabályokban foglaltak szerint. Jelenleg hatályos jogszabály alapján az első kamatperiódus lejáratát követően sem változna az Ön által fizetendő kamat mértéke. A Bank évente egyszer, illetve a kamatperiódus fordulónapján, továbbá előtörlesztés esetén tájékoztatást ad a fogyasztónak a tartozásról törlesztési táblázat formájában díj-, költség- és egyéb fizetésikötelezettség-mentesen.
</t>
  </si>
  <si>
    <t>ERSTE BANK HUNGARY Zrt. (székhelye: 1138 Budapest, Népfürdő u. 24-26.)</t>
  </si>
  <si>
    <t>Felhasználási célok, amelyre a hitel fordítható:</t>
  </si>
  <si>
    <t>A jelzáloghitel biztosítékai:</t>
  </si>
  <si>
    <t>A hitel lehetséges futamideje:</t>
  </si>
  <si>
    <t xml:space="preserve">A Bank által kínált jelzáloghitelek típusai, fix kamatozású, referencia kamatlábhoz kötött, vagy kamatperiódusokban rögzített hitelek közötti különbségek rövid ismertetése, beleértve a fogyasztót érintő hatásokat:        
</t>
  </si>
  <si>
    <r>
      <rPr>
        <sz val="8"/>
        <color indexed="56"/>
        <rFont val="Calibri"/>
        <family val="2"/>
        <charset val="238"/>
      </rPr>
      <t>A hitel teljes összege:</t>
    </r>
    <r>
      <rPr>
        <b/>
        <sz val="8"/>
        <color indexed="56"/>
        <rFont val="Calibri"/>
        <family val="2"/>
        <charset val="238"/>
      </rPr>
      <t xml:space="preserve"> 5 000 000 Ft</t>
    </r>
  </si>
  <si>
    <r>
      <rPr>
        <sz val="8"/>
        <color indexed="56"/>
        <rFont val="Calibri"/>
        <family val="2"/>
        <charset val="238"/>
      </rPr>
      <t>A hitel típusa:</t>
    </r>
    <r>
      <rPr>
        <b/>
        <sz val="8"/>
        <color indexed="56"/>
        <rFont val="Calibri"/>
        <family val="2"/>
        <charset val="238"/>
      </rPr>
      <t xml:space="preserve"> Szabad felhasználású jelzáloghitel 5 éves kamatperiódussal 2. kedvezmény kategória</t>
    </r>
  </si>
  <si>
    <r>
      <rPr>
        <sz val="8"/>
        <color indexed="56"/>
        <rFont val="Calibri"/>
        <family val="2"/>
        <charset val="238"/>
      </rPr>
      <t>A hitel futamideje:</t>
    </r>
    <r>
      <rPr>
        <b/>
        <sz val="8"/>
        <color indexed="56"/>
        <rFont val="Calibri"/>
        <family val="2"/>
        <charset val="238"/>
      </rPr>
      <t xml:space="preserve"> 240 hónap</t>
    </r>
  </si>
  <si>
    <r>
      <rPr>
        <sz val="8"/>
        <color indexed="56"/>
        <rFont val="Calibri"/>
        <family val="2"/>
        <charset val="238"/>
      </rPr>
      <t xml:space="preserve">A hitel futamideje: </t>
    </r>
    <r>
      <rPr>
        <b/>
        <sz val="8"/>
        <color indexed="56"/>
        <rFont val="Calibri"/>
        <family val="2"/>
        <charset val="238"/>
      </rPr>
      <t>240 hónap</t>
    </r>
  </si>
  <si>
    <t>Az előtörlesztés lehetősége és annak feltételei:</t>
  </si>
  <si>
    <t>A Bank által kínált törlesztési lehetőségek, beleértve a törlesztőrészletek számát, összegét és a törlesztés gyakoriságát:</t>
  </si>
  <si>
    <t xml:space="preserve"> Szükséges-e a fedezetül szolgáló ingatlan értékelése, és ha igen, ki végzi el:</t>
  </si>
  <si>
    <t>A hitelbírálat időtartama:</t>
  </si>
  <si>
    <t>II. Személyes tájékoztatás a jelzáloghitelről
(A fogyasztónak nyújtott hitelről szóló 2009. évi CLXII. törvény és a a jelzáloghitelre vonatkozó
tájékoztatás szabályairól szóló 3/2016. (I. 7.) NGM rendelet alapján)</t>
  </si>
  <si>
    <t>Jelen tájékoztató nem minősül jogilag kötelező érvényű ajánlatnak. A tájékoztatóban szereplő adatokat a hitelező jóhiszeműen nyújtja és azon ajánlatát tükrözi, amelyet a rendelkezésre álló információk alapján a jelenlegi piaci feltételek mellett tenne. Az adatok a piaci feltételek változása esetén megváltozhatnak. Ez a tájékoztató nem kötelezi az ERSTE BANK HUNGARY Zrt.-t arra, hogy hitelt nyújtson Önnek.</t>
  </si>
  <si>
    <t>ERSTE BANK HUNGARY Zrt. (székhelye: 1138 Budapest, Népfürdő u. 24-26.)
Telefonszám: +36 1 298 0222
Levelezési dím: ERSTE BANK HUNGARY ZRT. Budapest 1933</t>
  </si>
  <si>
    <t>A fedezetül felajánlott ingatlan(ok)ra a Bank, mint jogosult javára a hitelösszeg 130%-nak megfelelő összeg erejéig kiterjedő önálló zálogjog (kamattámogatott hitelek esetén jelzálogjog) és elidegenítési és terhelési tilalom kerül bejegyzésre, illetve feljegyzésre.</t>
  </si>
  <si>
    <t>A hatályos jogszabályok alapján (32/2014. MNB rendelet) a hitel fedezetéül felajánlott ingatlanra bejegyzett önálló zálogjoggal / jelzálogjoggal biztosított jelzáloghitel összege nem haladhatja meg az ingatlan Bank által elfogadott forgalmi értékének a 80%-t.  A maximálisan igénybe vehető hitelösszeg így legfeljebb az ingatlan piaci értékének 80%-a lehet. Ettől a Bank szigorúbb irányba eltérhet, a fedezetül felajánlott ingatlan alapján adható hitelösszeg a hitelbírálat során, a Bank belső szabályzatainak, és a vonatkozó jogszabályoknak megfelelően kerül megállapításra. Amennyiben a fedezetül felajánlott ingatlan Bank által elfogadott forgalmi értéke 5.000.000 Ft, úgy annak a 80%-a 4.000.000 Ft, azaz a maximálisan igénybe vehető hitelösszeg jelen példa esetében: 4.000.000 Ft.</t>
  </si>
  <si>
    <t>A teljes hiteldíj mutató (THM)  a hitel teljes éves díját mutatja meg százalékban kifejezve. A THM a különböző ajánlatok összehasonlítását szolgálja. Kérjük, tájékozódjon az ehhez a hitelhez kapcsolódó minden egyéb illetékről és költségről.</t>
  </si>
  <si>
    <r>
      <t xml:space="preserve">THM egyéb költségei:
Egyszeri költségek:
A jelzálogjog bejegyzéséért díjat kell fizetnie. A díj összege a változással érintett ingatlanonként </t>
    </r>
    <r>
      <rPr>
        <b/>
        <sz val="8"/>
        <color indexed="56"/>
        <rFont val="Calibri"/>
        <family val="2"/>
        <charset val="238"/>
      </rPr>
      <t>12.600 Ft.</t>
    </r>
    <r>
      <rPr>
        <sz val="8"/>
        <color indexed="56"/>
        <rFont val="Calibri"/>
        <family val="2"/>
        <charset val="238"/>
      </rPr>
      <t xml:space="preserve">
</t>
    </r>
  </si>
  <si>
    <r>
      <rPr>
        <b/>
        <sz val="8"/>
        <color indexed="56"/>
        <rFont val="Calibri"/>
        <family val="2"/>
        <charset val="238"/>
      </rPr>
      <t xml:space="preserve">Az alábbi költségek nem ismertek a hitelező számára, és így azokat a THM nem foglalja magában: </t>
    </r>
    <r>
      <rPr>
        <sz val="8"/>
        <color indexed="56"/>
        <rFont val="Calibri"/>
        <family val="2"/>
        <charset val="238"/>
      </rPr>
      <t xml:space="preserve">
- a fedezetül felajánlott ingatlanra kötött vagyonbiztosítás díja
-a folyósított hitel átutalásának díja
- szakaszos folyósítású (építési, bővítési, felújítási, korszerűsítési) hitel esetén a rendelkezésre tartási jutalék 1%-os mértéke a rendelkezésre tartott összegre számítva.</t>
    </r>
  </si>
  <si>
    <t>Amennyiben a hitel előtörlesztése mellett dönt, kérjük vegye fel a kapcsolatot a Bankkal, hogy pontosan megállapítsuk az előtörlesztés időpontjában esedékes előtörlesztési díjat.</t>
  </si>
  <si>
    <t xml:space="preserve">15 nap gondolkodási idő áll a rendelkezésére a hitel felvételéről szóló döntéshez. Miután kézhez kapta a hitelszerződés tervezetét a hitelezőtől, csak 3 nap eltelte után fogadhatja el az ajánlatot. Önnek a szerződéskötést követően 14 napon belül a folyósítást megelőzően joga van elállni a megállapodástól.  Önnek joga van ahhoz, hogy a hitelező a hitelszerződés-tervezetének egy példányát díj-, költség- és egyéb fizetési kötelezettség mentesen rendelkezésre bocsássa, nem terheli e kötelezettség a Bankot, ha a Bank nem kíván szerződést kötni. </t>
  </si>
  <si>
    <t xml:space="preserve">Aláírásommal igazolom, hogy a kérelem tárgyát képező hiteltermékkel kapcsolatban a 2009. évi CLXII. törvény és a 3/2016 (I.7.) NGM rendelet szerinti tájékoztatást a fentiek szerint teljes körűen megkaptam. </t>
  </si>
  <si>
    <t xml:space="preserve">A fogyasztónak a következő kötelezettségeket kell teljesítenie ahhoz, hogy az ebben a dokumentumban ismertetett feltételekkel juthasson hitelhez:
- a fedezetül felajánlott ingatlan(ok)ra kötött, Bank zálogjogával terhelt vagyonbiztosítás és annak fenntartása a hitel lejáratáig. Bankon kívüli szolgáltató is igénybe vehető, de a vagyonbiztosítás díját az Erste Banknál vezetett számláról szükséges teljesíteni csoportos beszedési megbízással vagy társasházi biztosítás esetén állandó átutalással. 
- ERSTE BANK HUNGARY Zrt.-nél vezetett számla a hitel lejáratáig. Felhívjuk szíves figyelmét, hogy amennyiben a fedezetül felajánlott ingatlanra kötött vagyonbiztosítást Ön a kölcsön futamideje alatt megszünteti, az a kölcsönszerződés felmondását vonhatja maga után.
- a vagyonbiztosítás becsült díja kb. 3 500-8000 Ft-ig / hó terjedhet, mely függ az ingatlan földrajzi fekvésétől, típusától, méretétől stb.
</t>
  </si>
  <si>
    <t>Közvetítői alvállalkozó telefonszáma:</t>
  </si>
  <si>
    <t xml:space="preserve">Hitelközvetítő / Közvetítői alvállalkozó neve és székhelye:
</t>
  </si>
  <si>
    <t>Hitelközvetítő / Közvetítői alvállalkozó telefonszáma:</t>
  </si>
  <si>
    <t>Hitelközvetítő / Közvetítői alvállalkozó levelezési címe:</t>
  </si>
  <si>
    <t>Ön jogosult a hitel részleges vagy teljes előtörlesztésére.  Az előtörlesztési szándékáról írásban, a Bank által erre a célra rendszeresített formanyomtatványon értesítenie kell a Bankot. Ilyen esetben a Bank Önnel egyeztetve vagy a havi törlesztőrészletek összegét csökkenti vagy a kölcsön lejárati időpontját változtatja meg változatlan fizetési kötelezettség mellett. Az előtörlesztés összegét a Bank a soron következő törlesztőrészlet esedékességgel együtt írja jóvá, amennyiben az esedékes törlesztőrészlet megfizetésre került. Amennyiben az esedékes törlesztőrészlet nem kerül megfizetésre, úgy a Bank jogosult az előtörlesztésre szánt összegből az esedékes törlesztőrészletet kiegyenlíteni. Ez esetben a Bank csak az esedékes törlesztőrészlet kiegyenlítése után fennmaradó összeget fordítja előtörlesztésre. Az előtörlesztés esetén a Bank kizárólag a Hirdetmény szerinti elő-/ végtörlesztési díjat számol fel.</t>
  </si>
  <si>
    <t>Rendelkezésre tartási idő (hónap)</t>
  </si>
  <si>
    <r>
      <t>Kamattámogatás</t>
    </r>
    <r>
      <rPr>
        <b/>
        <sz val="10"/>
        <color indexed="62"/>
        <rFont val="Calibri"/>
        <family val="2"/>
        <charset val="238"/>
      </rPr>
      <t xml:space="preserve"> mértéke
a futamidő első 5 évében</t>
    </r>
  </si>
  <si>
    <t>Törlesztőrészlet rendelkezésre tartási idő alatt</t>
  </si>
  <si>
    <t>Törlesztőrészlet rendelkezésre tartási idő után</t>
  </si>
  <si>
    <t>Keltezés helye, dátuma:</t>
  </si>
  <si>
    <t>Maximális hitelösszeg</t>
  </si>
  <si>
    <t>Többgyermekes családok otthonteremtési kamattámogatott lakáshitele – 5 éves kamatperiódussal – három vagy több gyermek esetén</t>
  </si>
  <si>
    <t>Hiteltörlesztés hitelfedezeti biztosítással A csomag</t>
  </si>
  <si>
    <t>Hiteltörlesztés hitelfedezeti biztosítással B csomag</t>
  </si>
  <si>
    <t>Hiteltörlesztés hitelfedezeti biztosítással C csomag</t>
  </si>
  <si>
    <t>40.000.000 Ft feletti hiteligény esetén nem köthető Törlesztésvédelmi biztosítás.</t>
  </si>
  <si>
    <t>Rendelkezésre tartási jutalék</t>
  </si>
  <si>
    <t>Teljes törlesztő részlet</t>
  </si>
  <si>
    <t>Törlesztőrészlet
kamat+tőke</t>
  </si>
  <si>
    <t>Tulajdoni lap lekérdezés díja</t>
  </si>
  <si>
    <t>Térképmásolat lekérdezés díja</t>
  </si>
  <si>
    <t>Tulajdoni lap lekérési díja:</t>
  </si>
  <si>
    <t>Térképmásolat lekérési díja:</t>
  </si>
  <si>
    <t xml:space="preserve">A hitelügyletben szereplő ingatlan(ok)hoz tartozóan hitelügyletenként 2 darab tulajdoni lap másolat TAKARNET rendszerből történő lekérdezésének díját a Bank 0 Ft-ban állapítja meg. </t>
  </si>
  <si>
    <t>A hitelügyletben szereplő ingatlan(ok)hoz tartozóan hitelügyletenként 1 darab térképmásolat TAKARNET rendszerből történő lekérdezésének díját a Bank 0 Ft-ban állapítja meg.</t>
  </si>
  <si>
    <t>Az Ön jövedelme változhat. Kérjük, gondolja át, hogy a jövedelme csökkenése esetén is képes lesz-e törleszteni a havi részleteket.</t>
  </si>
  <si>
    <t>Részleges előtörlesztés vagy végtörlesztés esetén az előtörlesztett / végtörlesztett összeg 2%, amennyiben jelzálog-hitelintézet által refinanszírozott szerződés és az elő / végtörlesztésre nem kamatfordulókor kerül sor, egyéb esetekben 1,5%.</t>
  </si>
  <si>
    <t>Kamattámogatás</t>
  </si>
  <si>
    <t>3 havi 5 éves ÁKK</t>
  </si>
  <si>
    <t>2.15.</t>
  </si>
  <si>
    <t>Tájékoztatás környezeti fenntarthatósághoz való hozzájárulásról</t>
  </si>
  <si>
    <t>Az Erste Bank Magyarország elkötelezett a fenntartható bankolás kialakítása mellett annak érdekében, hogy támogassa a gazdaság hosszútávú fenntartható működésre való átállását. Az Erste Bank tisztában van azzal, hogy minden általa kínált termék, minden pénzügyi döntés és a működéséhez felhasznált erőforrás hatással van a környezetre. Annak érdekében, hogy a bank csökkentse a környezetre gyakorolt hatását környezeti kritériumokat épít be az általa kínált termékeibe és szolgáltatásaiba, ezáltal elősegítve a környezettudatos beruházások terjedését. Kiemelten kezeli továbbá a működése karbonlábnyomának csökkentését, aminek keretében folyamatosan csökkenti a CO2 kibocsátását, valamint a papírfelhasználását.</t>
  </si>
  <si>
    <t>Az Erste Bank egyik fontos alapértéke megóvni a környezetet a jövő generációk számára. Ennek az elkötelezettségnek megfelelve üzleti tevékenységünkben is fontosnak tartjuk az NHP Zöld Otthon Programban való részvételt. Az Erste Bank a környezeti fenntarthatósági szempontokat is szem előtt tartva elsők között csatlakozott az Magyar Nemzeti Bank által indított NHP Zöld Hitel Programhoz, mely keretein belül kedvezményes hitellehetőségekkel támogatjuk meglévő és leendő ügyfeleinket új lakás vásárlási és építési céljait, mely mögött található ingatlan energetikai jellemzői teljesítik a minimum BB energetikai besorolást és a maximum 90 kWh/m2/év primerenergia-felhasználású követelményt. A jelzáloghitel elérhető kamattámogatott formában is, amivel további előnyöket élvezhet.</t>
  </si>
  <si>
    <t>A hitellel kapcsolatban bővebb információt</t>
  </si>
  <si>
    <t>oldalunkon talál.</t>
  </si>
  <si>
    <t>https://kampany.erstebank.hu/extras/nhp-zold-otthon-hitel/</t>
  </si>
  <si>
    <t xml:space="preserve">Bankunk számos új zöld megoldás kialakításán dolgozik jelenleg is, amivel az ügyfelek zöld és környezettudatos szemlélet kialakítását, formálását igyekszik támogatni, mely során nem csak az kiemelten fontos, hogy pénzügyileg tudatos döntéseket hozzunk, hanem amennyire lehet, találkozzon környezetfenntarthatóság szempontokkal is. Így arra kérjük, hogyha teheti, vegye Ön is számításba a zöld lehetőségeket is, hisz sok esetben nemcsak a környezetnek kedvezőbb, de kézzelfogható előnyöket jelent Önre nézve is. </t>
  </si>
  <si>
    <t>Miért jó zöld ingatlanban gondolkodni?</t>
  </si>
  <si>
    <t>Zöld ingatlanok fenntartási költségei kedvezőbbek, mint egy zöld besorolásnál gyengébb paraméterekkel rendelkező ingatlannak. Egy zöld ingatlan üzemelése a fennállási évei alatt – évtizedeken keresztül - jóval kisebb ökológiai lábnyomot jelent, kevesebb káros anyag kibocsátás és a felhasznált energiaigény okán. Sok esetben a zöld ingatlanok már megújuló energiafelhasználásra alapozzák az energiaigényüket. A fejlett építési technológiák, a korszerű szigetelések és gépészeti (fűtés, szellőztetés, hűtés) megoldások emelik a lakókomfort érzetet kedvezőbb energia felhasználás mellett.</t>
  </si>
  <si>
    <r>
      <t xml:space="preserve">Bővebben </t>
    </r>
    <r>
      <rPr>
        <b/>
        <sz val="8"/>
        <color theme="3"/>
        <rFont val="Calibri"/>
        <family val="2"/>
        <charset val="238"/>
      </rPr>
      <t>a Családi Zöld Pénzügyekről az MNB aloldalán</t>
    </r>
    <r>
      <rPr>
        <sz val="8"/>
        <color theme="3"/>
        <rFont val="Calibri"/>
        <family val="2"/>
        <charset val="238"/>
      </rPr>
      <t xml:space="preserve"> is olvashat:</t>
    </r>
  </si>
  <si>
    <t>https://www.mnb.hu/fogyasztovedelem/csaladi-zold-penzugyek/</t>
  </si>
  <si>
    <r>
      <t xml:space="preserve">- a közjegyzői okirat becsült díja:
5 000 001 Ft - 10 000 000 Ft hitelösszeg esetén 16 500 Ft;
10 000 0001 Ft - 15 000 000 Ft hitelösszeg esetén 19 500 Ft.
A fenti díjak feltüntett összege </t>
    </r>
    <r>
      <rPr>
        <b/>
        <sz val="8"/>
        <color theme="3"/>
        <rFont val="Calibri"/>
        <family val="2"/>
        <charset val="238"/>
      </rPr>
      <t>becslésen</t>
    </r>
    <r>
      <rPr>
        <sz val="8"/>
        <color theme="3"/>
        <rFont val="Calibri"/>
        <family val="2"/>
        <charset val="238"/>
      </rPr>
      <t xml:space="preserve"> alapul és egyoldalú kötelezettségvállaló nyilatkozatra vonatkozik; a díj pontos mértéke - közvetlenül a szerződéskötést követően - a közjegyző által kerül meghatározásra. (közjegyzői okirat díjának összegét a Bank a Lakossági hitel Hirdetményben meghirdetett akció és abban meghatározott feltételek teljesülése alapján előzetes megfizetés után visszatéríti legfeljebb 50 000 Ft-ig)
- vagyonbiztosítás díja, mivle a hitelező számára annak mértéke nem ismert
-opcionális hitelfedezeti életbiztosítás díja, mivel a hitelező számára annak mértéke nem ismert</t>
    </r>
  </si>
  <si>
    <t>Hitel díja</t>
  </si>
  <si>
    <t>Teljes visszafizetendő</t>
  </si>
  <si>
    <t>THM</t>
  </si>
  <si>
    <r>
      <rPr>
        <sz val="8"/>
        <color indexed="56"/>
        <rFont val="Calibri"/>
        <family val="2"/>
        <charset val="238"/>
      </rPr>
      <t>A hitel teljes összege:</t>
    </r>
    <r>
      <rPr>
        <b/>
        <sz val="8"/>
        <color indexed="56"/>
        <rFont val="Calibri"/>
        <family val="2"/>
        <charset val="238"/>
      </rPr>
      <t xml:space="preserve"> </t>
    </r>
  </si>
  <si>
    <t>A hitel típusa:</t>
  </si>
  <si>
    <r>
      <t xml:space="preserve">A Fogyasztót terhelő költségek:
A fedezetül szolgáló ingatlant minden esetben értékelni kell. Az értékbecslést (építési jellegű hitelek esetén műszaki szakértést is) minden esetben az ERSTE BANK HUNGARY Zrt. kiemelt közvetítőjeként eljáró ERSTE Jelzálogbank Zrt. által kijelölt szakértő végzi el.
Lakóingatlan, üres építési telek értékbecslése </t>
    </r>
    <r>
      <rPr>
        <b/>
        <sz val="8"/>
        <color indexed="56"/>
        <rFont val="Calibri"/>
        <family val="2"/>
        <charset val="238"/>
      </rPr>
      <t>46.000</t>
    </r>
    <r>
      <rPr>
        <sz val="8"/>
        <color indexed="56"/>
        <rFont val="Calibri"/>
        <family val="2"/>
        <charset val="238"/>
      </rPr>
      <t xml:space="preserve"> Ft
Értékbecslés felülvizsgálat </t>
    </r>
    <r>
      <rPr>
        <b/>
        <sz val="8"/>
        <color indexed="56"/>
        <rFont val="Calibri"/>
        <family val="2"/>
        <charset val="238"/>
      </rPr>
      <t>23.000</t>
    </r>
    <r>
      <rPr>
        <sz val="8"/>
        <color indexed="56"/>
        <rFont val="Calibri"/>
        <family val="2"/>
        <charset val="238"/>
      </rPr>
      <t xml:space="preserve"> Ft
Nem lakóingatlanok (kereskedelmi (üzletek, vendéglátó egységek), ipari, stb.) ingatlanok értékbecslése
        - 3000 m2 alatti felépítmény esetén </t>
    </r>
    <r>
      <rPr>
        <b/>
        <sz val="8"/>
        <color indexed="56"/>
        <rFont val="Calibri"/>
        <family val="2"/>
        <charset val="238"/>
      </rPr>
      <t>155.000</t>
    </r>
    <r>
      <rPr>
        <sz val="8"/>
        <color indexed="56"/>
        <rFont val="Calibri"/>
        <family val="2"/>
        <charset val="238"/>
      </rPr>
      <t xml:space="preserve"> Ft
        - 3000 m2-t elérő/meghaladó felépítmény esetén - </t>
    </r>
    <r>
      <rPr>
        <b/>
        <sz val="8"/>
        <color indexed="56"/>
        <rFont val="Calibri"/>
        <family val="2"/>
        <charset val="238"/>
      </rPr>
      <t>Egyedi értékmeghatározás - Szakértői árajánlatok alapján</t>
    </r>
    <r>
      <rPr>
        <sz val="8"/>
        <color indexed="56"/>
        <rFont val="Calibri"/>
        <family val="2"/>
        <charset val="238"/>
      </rPr>
      <t xml:space="preserve">
Szántó-földterületi ingatlanok értékbecslése (20 Ha alatti területek esetén) </t>
    </r>
    <r>
      <rPr>
        <b/>
        <sz val="8"/>
        <color indexed="56"/>
        <rFont val="Calibri"/>
        <family val="2"/>
        <charset val="238"/>
      </rPr>
      <t>46.000</t>
    </r>
    <r>
      <rPr>
        <sz val="8"/>
        <color indexed="56"/>
        <rFont val="Calibri"/>
        <family val="2"/>
        <charset val="238"/>
      </rPr>
      <t xml:space="preserve"> Ft
(az értékbecslési díjak egybefüggő, egymással fizikai kapcsolattal bíró területenként értendőek, nem HRSZ-ként) 20 Ha-t elérő és nagyobb területek esetén - </t>
    </r>
    <r>
      <rPr>
        <b/>
        <sz val="8"/>
        <color indexed="56"/>
        <rFont val="Calibri"/>
        <family val="2"/>
        <charset val="238"/>
      </rPr>
      <t>Egyedi értékmeghatározás - Szakértői árajánlatok alapján</t>
    </r>
    <r>
      <rPr>
        <sz val="8"/>
        <color indexed="56"/>
        <rFont val="Calibri"/>
        <family val="2"/>
        <charset val="238"/>
      </rPr>
      <t xml:space="preserve">
Értékbecslés és műszaki szakértés </t>
    </r>
    <r>
      <rPr>
        <b/>
        <sz val="8"/>
        <color rgb="FF003366"/>
        <rFont val="Calibri"/>
        <family val="2"/>
        <charset val="238"/>
      </rPr>
      <t>62.</t>
    </r>
    <r>
      <rPr>
        <b/>
        <sz val="8"/>
        <color indexed="56"/>
        <rFont val="Calibri"/>
        <family val="2"/>
        <charset val="238"/>
      </rPr>
      <t xml:space="preserve">000 </t>
    </r>
    <r>
      <rPr>
        <sz val="8"/>
        <color indexed="56"/>
        <rFont val="Calibri"/>
        <family val="2"/>
        <charset val="238"/>
      </rPr>
      <t xml:space="preserve">Ft
Műszaki szakértés </t>
    </r>
    <r>
      <rPr>
        <b/>
        <sz val="8"/>
        <color indexed="56"/>
        <rFont val="Calibri"/>
        <family val="2"/>
        <charset val="238"/>
      </rPr>
      <t>29.000</t>
    </r>
    <r>
      <rPr>
        <sz val="8"/>
        <color indexed="56"/>
        <rFont val="Calibri"/>
        <family val="2"/>
        <charset val="238"/>
      </rPr>
      <t xml:space="preserve"> Ft</t>
    </r>
  </si>
  <si>
    <r>
      <t>Kamattámogatás</t>
    </r>
    <r>
      <rPr>
        <b/>
        <sz val="10"/>
        <color indexed="62"/>
        <rFont val="Calibri"/>
        <family val="2"/>
        <charset val="238"/>
      </rPr>
      <t xml:space="preserve"> mértéke
a futamidő első 1 évében</t>
    </r>
  </si>
  <si>
    <t>Kamat mértéke 
a futamidő első 1 évében</t>
  </si>
  <si>
    <t>Preferált Településen Több Gyermekes Családok Otthonteremtési Kamattámogatott Hitele – 1 éves kamatperiódussal – két gyermek esetén új lakás vásárlás, építés</t>
  </si>
  <si>
    <t>Preferált Településen Több Gyermekes Családok Otthonteremtési Kamattámogatott Hitele – 1 éves kamatperiódussal – három gyermek esetén új lakás vásárlás, építés</t>
  </si>
  <si>
    <t>Preferált Településen Több Gyermekes Családok Otthonteremtési Kamattámogatott Hitele – 1 éves kamatperiódussal – két gyermek esetén bővítés, korszerűsítés</t>
  </si>
  <si>
    <t>Preferált Településen Több Gyermekes Családok Otthonteremtési Kamattámogatott Hitele – 1 éves kamatperiódussal – három gyermek esetén bővítés, korszerűsítés</t>
  </si>
  <si>
    <t>Kamattámogatás mértéke = (3 havi 5Y ÁKK 115% + 1%) - ügyfél által fizetett 3%</t>
  </si>
  <si>
    <t>3 havi 5Y ÁKK</t>
  </si>
  <si>
    <t>3 havi 5Y ÁKK * 1,15</t>
  </si>
  <si>
    <t>(3 havi 5Y ÁKK * 1,15) + 1%</t>
  </si>
  <si>
    <t>Kamattámogatás mértéke</t>
  </si>
  <si>
    <r>
      <rPr>
        <b/>
        <sz val="8"/>
        <color theme="3"/>
        <rFont val="Calibri"/>
        <family val="2"/>
        <charset val="238"/>
      </rPr>
      <t xml:space="preserve">Lakásépítés (Minősített Fogyasztóbarát termék is): </t>
    </r>
    <r>
      <rPr>
        <sz val="8"/>
        <color theme="3"/>
        <rFont val="Calibri"/>
        <family val="2"/>
        <charset val="238"/>
      </rPr>
      <t xml:space="preserve">lakó- és üdülőingatlan, preferált kistelepülésen egylakásos lakóépület, a családok otthonteremtését támogató kedvezményes CSOK Plusz hitelprogram (továbbiakban: CSOK Plusz hitelprogram) keretében Magyarország területén lévő lakás, vagy egylakásos lakóépület építésének finanszírozása. Építési körbe tartozik a saját kivitelezésben, illetve a megbízás alapján történő lakásépítés is.. A hitel iroda és üzlethelyiség építésére nem igényelhető. 
</t>
    </r>
    <r>
      <rPr>
        <b/>
        <sz val="8"/>
        <color theme="3"/>
        <rFont val="Calibri"/>
        <family val="2"/>
        <charset val="238"/>
      </rPr>
      <t xml:space="preserve">Lakásvásárlás (Minősített Fogyasztóbarát termék is): </t>
    </r>
    <r>
      <rPr>
        <sz val="8"/>
        <color theme="3"/>
        <rFont val="Calibri"/>
        <family val="2"/>
        <charset val="238"/>
      </rPr>
      <t xml:space="preserve">használt, valamint új építésű lakó- vagy üdülőingatlan, továbbá lakó-, vagy üdülőtelek, preferált kistelepülésen új építésű egylakásos lakóépület, a CSOK Plusz hitelprogram keretében Magyarország területén lévő lakás, vagy egylakásos lakóépület megvásárlásának finanszírozása. A hitel iroda és üzlethelyiség megvásárlására nem igényelhető.
</t>
    </r>
    <r>
      <rPr>
        <b/>
        <sz val="8"/>
        <color theme="3"/>
        <rFont val="Calibri"/>
        <family val="2"/>
        <charset val="238"/>
      </rPr>
      <t>Lakásbővítés CSOK Plusz hitelprogram keretében kamattámogatott kölcsön esetén</t>
    </r>
    <r>
      <rPr>
        <sz val="8"/>
        <color theme="3"/>
        <rFont val="Calibri"/>
        <family val="2"/>
        <charset val="238"/>
      </rPr>
      <t xml:space="preserve"> a lakás hasznos alapterületének legalább egy 12 négyzetméteres lakószobával, </t>
    </r>
    <r>
      <rPr>
        <b/>
        <sz val="8"/>
        <color theme="3"/>
        <rFont val="Calibri"/>
        <family val="2"/>
        <charset val="238"/>
      </rPr>
      <t>Preferált kistelepülésen kamattámogatott kölcsön esetén</t>
    </r>
    <r>
      <rPr>
        <sz val="8"/>
        <color theme="3"/>
        <rFont val="Calibri"/>
        <family val="2"/>
        <charset val="238"/>
      </rPr>
      <t xml:space="preserve"> a lakás hasznos alapterületének legalább egy 8 négyzetméteres lakószobával történő növelése érdekében végzett építési tevékenység, ideértve az építmény térfogatnövelésével nem járó tetőtérbeépítést, valamint az emelet-ráépítést is. A meglévő épület, épületrész vagy építmény átalakítása nem minősül a lakás bővítésének.
</t>
    </r>
    <r>
      <rPr>
        <b/>
        <sz val="8"/>
        <color theme="3"/>
        <rFont val="Calibri"/>
        <family val="2"/>
        <charset val="238"/>
      </rPr>
      <t xml:space="preserve">Lakásfelújítás/korszerűsítés: </t>
    </r>
    <r>
      <rPr>
        <sz val="8"/>
        <color theme="3"/>
        <rFont val="Calibri"/>
        <family val="2"/>
        <charset val="238"/>
      </rPr>
      <t xml:space="preserve">lakó- és üdülőingatlan felújításának/ korszerűsítésének finanszírozása. Ezen tevékenységek lehetnek építési vagy szakhatósági engedélyhez / egyszerű bejelentéshez, vagy azokhoz nem kötött munkálatok. A lakásfelújítás fogalomkörbe tartozik a korszerűsítés is. A korszerűsítés része az ehhez közvetlenül kapcsolódó helyreállítási munka, a korszerűsítés közvetlen költségeinek 20%-áig.
</t>
    </r>
    <r>
      <rPr>
        <b/>
        <sz val="8"/>
        <color theme="3"/>
        <rFont val="Calibri"/>
        <family val="2"/>
        <charset val="238"/>
      </rPr>
      <t>Lakásvásárlás előbírálattal (Minősített Fogyasztóbarát termék is)</t>
    </r>
    <r>
      <rPr>
        <sz val="8"/>
        <color theme="3"/>
        <rFont val="Calibri"/>
        <family val="2"/>
        <charset val="238"/>
      </rPr>
      <t xml:space="preserve">: új- vagy használt lakásvásárlás esetén a kölcsönkérelem aláírt ingatlan adásvételi szerződés nélkül nyújtható be. Az ügyfél minősítése igazolt jövedelme és hitelképesség vizsgálata alapján történik ekkor, amely vizsgálat után Indikatív ajánlatot kap a bank kockázati feltételeinek megfelelő ügyfél. A megkötött és a földhivatal által érkeztetett ingatlan adásvételi szerződés benyújtása később, az Indikatív ajánlatban szereplő érvényességi időn belül (4 hó) történik. Az indikatív ajánlatban szereplő hitelösszeg igénybevételéhez megfelelő hitelbiztosítéki értékű ingatlanfedezetre lesz szükség. A végső bírálat már a fedezeti ingatlan paramétereivel együtt történik.
</t>
    </r>
    <r>
      <rPr>
        <b/>
        <sz val="8"/>
        <color theme="3"/>
        <rFont val="Calibri"/>
        <family val="2"/>
        <charset val="238"/>
      </rPr>
      <t>Hitelkiváltás (Minősített Fogyasztóbarát termék is):</t>
    </r>
    <r>
      <rPr>
        <sz val="8"/>
        <color theme="3"/>
        <rFont val="Calibri"/>
        <family val="2"/>
        <charset val="238"/>
      </rPr>
      <t xml:space="preserve"> lakáshitel, egyéb ingatlan fedezetes hitel, ingatlan fedezet nélküli hitel vagy hitelek kiváltására nyújtott kölcsön.
</t>
    </r>
    <r>
      <rPr>
        <b/>
        <sz val="8"/>
        <color theme="3"/>
        <rFont val="Calibri"/>
        <family val="2"/>
        <charset val="238"/>
      </rPr>
      <t>Szabad felhasználású jelzáloghitel:</t>
    </r>
    <r>
      <rPr>
        <sz val="8"/>
        <color theme="3"/>
        <rFont val="Calibri"/>
        <family val="2"/>
        <charset val="238"/>
      </rPr>
      <t xml:space="preserve"> célja a természetes személyek olyan jellegű kiadásainak finanszírozása, melyekre célhitelt nem tud, vagy nem kíván igénybe venni.
</t>
    </r>
    <r>
      <rPr>
        <b/>
        <sz val="8"/>
        <color theme="3"/>
        <rFont val="Calibri"/>
        <family val="2"/>
        <charset val="238"/>
      </rPr>
      <t xml:space="preserve">Zöld hitelcél kedvezményes finanszírozása Minősített Fogyasztóbarát Lakáshitellel: </t>
    </r>
    <r>
      <rPr>
        <sz val="8"/>
        <color theme="3"/>
        <rFont val="Calibri"/>
        <family val="2"/>
        <charset val="238"/>
      </rPr>
      <t xml:space="preserve">
-	új lakás építése vagy vásárlása, valamint az új lakáshoz kapcsolódó gépkocsitároló, tároló (új lakással egyidejű) építése vagy vásárlása, amennyiben az épületek energetikai jellemzőinek meghatározásáról szóló 7/2006 (V.24.) TNM rendelet szerint meghatározott összesített energetikai jellemző számított értéke (primer energiaigény) legfeljebb 80 kWh/m²/év, továbbá az épületek energetikai tanúsításáról szóló 176/2008 (VI.30.) Kormányrendelet szerinti „BB” vagy annál jobb energetikai minőségi besorolással rendelkezik a Hiteles Energetikai Tanúsítvány (a továbbiakban: HET) vagy a 312/2012. (XI.8.) Korm. rendelet szerinti építészeti-műszaki dokumentációban meghatározott előzetes épületenergetikai számítások alapján; vagy
-	használt lakóépület olyan felújítása, amely: 
o	a hitelkérelem befogadásának időpontjában a HET alapján „BB”-nél rosszabb energetikai minőség szerinti besorolású lakóépületet érint és a felújítás eredményeként újonnan  kiállított HET alapján a lakóépület besorolása eléri vagy meghaladja a „BB” minősítést, továbbá a felújított lakóépület összesített energetikai jellemzője nem haladja meg a 80 kWh/m²/év szintet; vagy
o	a hitelkérelem befogadásakor érvényes HET-ben szereplő összesített energetikai jellemzőhöz képest az újonnan  kiállított HET-ben szereplő összesített energetikai jellemző alapján legalább 30 %-os primerenergia-igény csökkenést eredményezett; vagy
-	 az alábbi (akár „BB”-nél rosszabb besorolású ) lakóépületen végzett korszerűsítési intézkedések közül egy vagy több végrehajtása:
o	Napelem vagy napkollektor telepítése,
o	Geotermikus, levegő-víz, levegő-levegő hőszivattyú telepítése,
o	Szélturbina telepítése,
o	Hő és elektromos tárolóegységek telepítése,
o	Épülethatároló szerkezetek hőszigetelése,
o	Homlokzati nyílászáró cseréje energiatakarékos nyílászáróra,
o	Árnyékolástechnika telepítése,
o	Fűtési, hűtési vagy szellőző rendszerek telepítése, cseréje vagy felújítása, beleértve a távhőrendszerre történő rácsatlakozást is,
o	Energiahatékony világítástechnika kialakítása,
o	Alacsony vízfelhasználású konyhai, WC vagy fürdőszobai szaniter rendszerek telepítése,
o	3. generációs okosmérő rendszerek telepítése az áramfelhasználás nyomon követésére,
o	Zónákra osztott termosztátrendszerek, okos termosztátok és érzékelők telepítése (pl.: mozgás- és napszakérzékelő világítási rendszerek),
o	Épületautomatika (Building Management System) rendszerek telepítése
o	A Kölcsön összegéből a fent megnevezett zöld hitelcél mellett a korszerűsítési intézkedéseket lehetővé tevő valamely hiteles szakmai vagy technikai tevékenység elvégzése (pl. HET készítésének), valamint a korszerűsítési intézkedések végrehajtásához szükséges kiegészítő műszaki és egyéb berendezések, szolgáltatások beszerzése is finanszírozható, amennyiben ezek összege nem haladhatja meg a hitel összegének 30 %-át.</t>
    </r>
  </si>
  <si>
    <t>A fedezetül felajánlott ingatlan(ok)ra alapított, a hitelösszeg 130%-nak megfelelő összeg erejéig kiterjedő önálló zálogjog / jelzálogjog és elidegenítési és terhelési tilalom. A Bank jogosult az ügyletbe készfizető kezes bevonását előírni, amennyiben kockázati szempontok ezt indokolttá teszik.
Támogatott konstrukció esetén a jogszabály szerint meghatározott biztosíték.</t>
  </si>
  <si>
    <r>
      <rPr>
        <b/>
        <sz val="8"/>
        <color rgb="FF003366"/>
        <rFont val="Calibri"/>
        <family val="2"/>
        <charset val="238"/>
      </rPr>
      <t>Piaci kamatozású lakáshitel:</t>
    </r>
    <r>
      <rPr>
        <sz val="8"/>
        <color indexed="56"/>
        <rFont val="Calibri"/>
        <family val="2"/>
        <charset val="238"/>
      </rPr>
      <t xml:space="preserve">
- </t>
    </r>
    <r>
      <rPr>
        <u/>
        <sz val="8"/>
        <color rgb="FF003366"/>
        <rFont val="Calibri"/>
        <family val="2"/>
        <charset val="238"/>
      </rPr>
      <t>10 éves kamatperiódussal:</t>
    </r>
    <r>
      <rPr>
        <sz val="8"/>
        <color indexed="56"/>
        <rFont val="Calibri"/>
        <family val="2"/>
        <charset val="238"/>
      </rPr>
      <t xml:space="preserve"> minimum 10 maximum 30 év
- 20 éves, futamidő végéig fix kamatozással, kizárólag 20 év
</t>
    </r>
    <r>
      <rPr>
        <b/>
        <sz val="8"/>
        <color rgb="FF003366"/>
        <rFont val="Calibri"/>
        <family val="2"/>
        <charset val="238"/>
      </rPr>
      <t>Szabad felhasználású jelzáloghitel:</t>
    </r>
    <r>
      <rPr>
        <sz val="8"/>
        <color indexed="56"/>
        <rFont val="Calibri"/>
        <family val="2"/>
        <charset val="238"/>
      </rPr>
      <t xml:space="preserve">
- </t>
    </r>
    <r>
      <rPr>
        <u/>
        <sz val="8"/>
        <color rgb="FF003366"/>
        <rFont val="Calibri"/>
        <family val="2"/>
        <charset val="238"/>
      </rPr>
      <t xml:space="preserve">5 éves kamatperiódussal: </t>
    </r>
    <r>
      <rPr>
        <sz val="8"/>
        <color indexed="56"/>
        <rFont val="Calibri"/>
        <family val="2"/>
        <charset val="238"/>
      </rPr>
      <t xml:space="preserve">minimum 5 maximum 20 év
- </t>
    </r>
    <r>
      <rPr>
        <u/>
        <sz val="8"/>
        <color rgb="FF003366"/>
        <rFont val="Calibri"/>
        <family val="2"/>
        <charset val="238"/>
      </rPr>
      <t xml:space="preserve">10 éves kamatperiódussal: </t>
    </r>
    <r>
      <rPr>
        <sz val="8"/>
        <color indexed="56"/>
        <rFont val="Calibri"/>
        <family val="2"/>
        <charset val="238"/>
      </rPr>
      <t xml:space="preserve">minimum 10 maximum 20 év
</t>
    </r>
    <r>
      <rPr>
        <u/>
        <sz val="8"/>
        <color rgb="FF003366"/>
        <rFont val="Calibri"/>
        <family val="2"/>
        <charset val="238"/>
      </rPr>
      <t>Preferált kistelepülésen többgyermekes családok otthonteremtési kamattámogatott lakáshitele</t>
    </r>
    <r>
      <rPr>
        <sz val="8"/>
        <color indexed="56"/>
        <rFont val="Calibri"/>
        <family val="2"/>
        <charset val="238"/>
      </rPr>
      <t xml:space="preserve">: minimum 5 maximum 25 év
</t>
    </r>
    <r>
      <rPr>
        <u/>
        <sz val="8"/>
        <color rgb="FF003366"/>
        <rFont val="Calibri"/>
        <family val="2"/>
        <charset val="238"/>
      </rPr>
      <t>CSOK Plusz hitelprogram keretében kamattámogatott kölcsön:</t>
    </r>
    <r>
      <rPr>
        <sz val="8"/>
        <color indexed="56"/>
        <rFont val="Calibri"/>
        <family val="2"/>
        <charset val="238"/>
      </rPr>
      <t xml:space="preserve"> minimum 10 maximum 25 év
A futamidő meghosszabbodik az első gyermek születését/ örökbefogadását követően igénybe vett törlesztés-szüneteltetés időtartamával.
</t>
    </r>
    <r>
      <rPr>
        <u/>
        <sz val="8"/>
        <color rgb="FF003366"/>
        <rFont val="Calibri"/>
        <family val="2"/>
        <charset val="238"/>
      </rPr>
      <t xml:space="preserve">Erste Áthidaló hitel: </t>
    </r>
    <r>
      <rPr>
        <sz val="8"/>
        <color indexed="56"/>
        <rFont val="Calibri"/>
        <family val="2"/>
        <charset val="238"/>
      </rPr>
      <t xml:space="preserve">minimum 1 maximum 2 év
</t>
    </r>
    <r>
      <rPr>
        <u/>
        <sz val="8"/>
        <color rgb="FF003366"/>
        <rFont val="Calibri"/>
        <family val="2"/>
        <charset val="238"/>
      </rPr>
      <t>Lakástakarék pénztári megtakarításhoz kötött piaci lakáshitel:</t>
    </r>
    <r>
      <rPr>
        <sz val="8"/>
        <color indexed="56"/>
        <rFont val="Calibri"/>
        <family val="2"/>
        <charset val="238"/>
      </rPr>
      <t xml:space="preserve">
- ELTP49; ELTP59; ELTP67; ELTP69 módozatok: miniumum 2 maximum 12 év
- ELTP55 módozat: minimum 2 maximum 10 év </t>
    </r>
  </si>
  <si>
    <t>Az ERSTE BANK HUNGARY Zrt. referencia kamatlábhoz kötött, kamatperiódusokban rögzített kamatozású, valamint futamidő végéig fix kamatozású jelzáloghiteleket nyújt.
Referencia kamatlábhoz kötött kamatozás esetén a hitelkamat = referencia-kamatláb + kamatfelár. A referencia-kamatláb: 6 havi Budapesti bankközi referencia-kamatláb (BUBOR). A referencia-kamatláb 6 havonta, a hónap utolsó banki munkanapját két munkanappal megelőző értékre változik, a kamatfelár a kamatfelár változtatási mutatóban rögzítettek szerint 5 évente módosulhat.
Kamatperiódusokban rögzített kamatozás esetén a kamat kamatperiódusokon belül állandó, azzal hogy a kölcsön futamideje alatt változhat, kizárólag a kamatperiódus fordulónapján a kamatváltoztatási mutatóban rögzítettek szerint. A kamatperiódus időtartama 10 év.
Fix kamatozás esetén a kamat a teljes futamidő alatt rögzített, állandó azzal, hogy kizárólag lakáscélra és kizárólag 20 éves futamidővel érhető el.
Preferált kistelepülésen többgyermekes családok otthonteremtési kamattámogatott lakáshitele esetén a kölcsön kamata az otthonteremtési kamattámogatás időszaka alatt kamatperiódusokban rögzített, az alábbiak szerint: 
a) első kamatperiódus: a kölcsönszerződés megkötésének napját követő 1 év,
b) második kamatperiódus: az a) pont szerinti időpontot követő 1 év, 
c) harmadik kamatperiódus: a b) pont szerinti időpontot követő 5 év, majd
d) a c) pontban foglaltakat követően 5 éves kamatperiódus.
CSOK Plusz hitelprogram keretében kamattámogatott kölcsön esetén a kölcsön kamata kamattámogatás időszaka alatt kamatperiódusokban rögzített, az alábbiak szerint: 
a) első kamatperiódus: a kölcsönszerződés megkötésének napját követő 1 év,
b) második kamatperiódus: az a) pont szerinti időpontot követő 1 év, 
c) harmadik kamatperiódus: a b) pont szerinti időpontot követő 5 év, majd
d) a c) pontban foglaltakat követően 5 éves kamatperiódus.</t>
  </si>
  <si>
    <t>Forinttól eltérő devizanem esetén annak törlesztésekor és adott esetben átváltáskor jelentkező következményei a fogyasztóra nézve:
Az ERSTE BANK HUNGARY Zrt. Jelenleg csak forint devizanemben nyújt jelzáloghitelt.</t>
  </si>
  <si>
    <r>
      <rPr>
        <b/>
        <sz val="8"/>
        <color theme="3"/>
        <rFont val="Calibri"/>
        <family val="2"/>
        <charset val="238"/>
      </rPr>
      <t>Azok a kapcsolódó szolgáltatások, amelyeket a fogyasztónak igénybe kell vennie a hitel felvételéhez vagy a meghirdetett feltételek melletti felvételéhez, ha van rá lehetőség, annak feltüntetése, hogy a kapcsolódó szolgáltatásokat a hitelezőtől eltérő szolgáltatótól lehet megvenni, illetve a kapcsolódó szolgáltatás külön szerződéses jogviszony létrejöttéhez kötött-e:</t>
    </r>
    <r>
      <rPr>
        <sz val="8"/>
        <color theme="3"/>
        <rFont val="Calibri"/>
        <family val="2"/>
        <charset val="238"/>
      </rPr>
      <t xml:space="preserve">
A hitel feltétele az ERSTE BANK HUNGARY Zrt-nél vezetett bankszámla (Lakossági Bankszámla vezetésére és kapcsolódó szolgáltatások nyújtására Számlavezetési Szolgáltatási Keretszerződés alapján), a fedezeti ingatlan(ok)ra vonatkozó, a bank zálogjogával terhelt vagyonbiztosítás (külön szerződés alapján) és egyedi bírálat alapján, a hitelkockázat csökkentése érdekében hitelfedezeti életbiztosításra vonatkozó külön szerződés megkötése. A fedezeti ingatlan(ok)ra vonatkozó vagyonbiztosításra és az esetileg előírható hitelfedezeti életbiztosításra vonatkozó szerződés ERSTE BANK HUNGARY Zrt-n kívüli szolgáltatóval is megköthető.
Önnek lehetősége van díjmentes számla igénylésére, amely kizárólag a hitel törlesztőrészletének és az esetleges kapcsolódó díjak elszámolására szolgál. 
A hitelcél ingatlanra vonatkozó Hiteles energetikai tanúsítvány (Minősített Fogyasztóbarát Lakáshitel kedvezményes zöld hitelcél esetén) a zöld hitelcél teljesítésének igazolására.</t>
    </r>
  </si>
  <si>
    <r>
      <rPr>
        <b/>
        <sz val="8"/>
        <color theme="3"/>
        <rFont val="Calibri"/>
        <family val="2"/>
        <charset val="238"/>
      </rPr>
      <t>Általános figyelmeztetés a hitelszerződés be nem tartásának lehetséges következményeire:</t>
    </r>
    <r>
      <rPr>
        <sz val="8"/>
        <color theme="3"/>
        <rFont val="Calibri"/>
        <family val="2"/>
        <charset val="238"/>
      </rPr>
      <t xml:space="preserve">
Lejárt tartozás esetén késedelmi kamat kerül felszámításra. 
Preferált kistelepülésen többgyermekes családok otthonteremtési kamattámogatott hitele esetén kamattámogatás nem nyújtható lejárt tőketartozás esetén. 
A CSOK Plusz hitelprogram keretében kamattámogatott kölcsönbe gyermekvállalási támogatás nem számolható el lejárt tőke és kamatainak csökkentésére.
Amennyiben az adós a kölcsön visszafizetésével kapcsolatos kötelezettségének az erre való felszólítást követően sem tesz eleget, az szerződésszegésnek minősül, amelynek következtében a Bank azonnali hatállyal felmondhatja a kölcsönszerződést. A szerződés felmondásával a teljes tartozás lejárttá, egy összegben esedékessé válik, és a tartozás meg nem fizetése esetén a Bank a biztosítékok érvényesítésére jogosult. A tartozás érvényesítése céljából a Bank jogosult igényérvényesítési eljárást kezdeményezni az Adóssal, Kezessel, Zálogkötelezettel szemben. A felmondott szerződésből eredő tartozások érvényesítésének költségei az Adóst, a Kezest és a hitelbiztosíték nyújtóját - azaz a Zálogkötelezettet - terhelik. A tartozások érvényesítése érdekében az Adós és Kezes jövedelme és más vagyontárgyai illetve az ügylet további biztosítékai egyaránt végrehajtás alá vonhatóak.</t>
    </r>
  </si>
  <si>
    <t>Kamatfelár: A referencia-kamatlábon felül - a hitelkamat részeként - fizetendő kamat, a hitelkamat és a referenciakamat különbségeként meghatározott kamatrész.Kamatfelár változtatási mutató: a kamatfelár módosításának alapjául szolgáló kamatváltoztatási mutató. A Bank által alkalmazott kamatfelárat, kamatváltoztatási mutatót, valamint kamatfelár változtatási mutatót a mindenkori Hirdetmény tartalmazza. Az ERSTE BANK HUNGARY Zrt. a H2F kamatfelár változtatási mutatót alkalmazza. Bővebb információk a kamatfelár változtatási mutatóról: https://www.mnb.hu/penzugyi-stabilitas/fair-bank/kamatvaltoztatasi-mutato/forinthitel és https://www.mnb.hu/penzugyi-stabilitas/fair-bank/kamatfelar-valtoztatasi-mutato/forinthitel
Kamatváltoztatási mutató: a hitelezés refinanszírozási költségeihez és a hitel nyújtásához kapcsolódó, az üzleti kockázat körén kívül álló, a hitelezők által nem befolyásolható, tőlük független, valamint általuk el nem hárítható körülményekben bekövetkező változást objektív módon kifejező, a kamatmódosítás számításának alapjául szolgáló és a nyilvánosság számára hozzáférhető viszonyszám. Az ERSTE BANK HUNGARY Zrt. által alkalmazott kamatváltoztatási mutató: H3K10 10 éves kamatperiódus esetén. Bővebb információk a kamatváltoztatási mutatókról: https://www.mnb.hu/penzugyi-stabilitas/fair-bank/kamatvaltoztatasi-mutato/forinthitel és https://www.mnb.hu/penzugyi-stabilitas/fair-bank/kamatfelar-valtoztatasi-mutato/forinthitel
Kamatváltoztatási mutatót fix kamatozású termék esetén nem alkalmaz a bank figyelemmel arra, hogy a teljes 20 éves futamidő alatt fix kamatozású.
A legfeljebb 3 éves futamidejű hitel annak teljes futamidejére a hitelszerződésben meghatározott:
a) fix kamatozással, vagy
b) a Magyar Nemzeti Bank honlapján közzétett referencia-kamatlábhoz kötött változó kamatozással és fix kamatfelárral 
nyújtható, és e hitel kamatfeltételei a fogyasztó számára hátrányosan és egyoldalúan nem módosíthatóak.
A 3 évet meghaladó futamidejű hitel a szerződésben meghatározott,
a) a Magyar Nemzeti Bank honlapján közzétett referencia-kamatlábhoz kötött változó kamatozással és annak teljes futamidejére vagy legalább 3 éves kamatperiódusokban rögzített kamatfelárral,
b) legalább 3 éves kamatperiódusokban rögzített hitelkamattal, vagy
c) fix kamatozással nyújtható a fentiek szerint</t>
  </si>
  <si>
    <r>
      <t xml:space="preserve">
Olyan hitelszerződés esetén, amely a 2016/1011/EU európai parlamenti és tanácsi rendelet 3. cikk (1) bekezdésének 3. pontjában meghatározott referenciamutatóra hivatkozik, a referenciamutatók és azok kezelőinek nevei, valamint következményei a fogyasztóra nézve: </t>
    </r>
    <r>
      <rPr>
        <sz val="8"/>
        <color theme="3"/>
        <rFont val="Calibri"/>
        <family val="2"/>
        <charset val="238"/>
      </rPr>
      <t>Bővebb információ a jelen tájékoztató 2.4. pontjában</t>
    </r>
  </si>
  <si>
    <t>Egy reprezentatív példával a hitel teljes összege, a hitel teljes díja, a fogyasztó által fizetendő teljes összeg és a teljes hiteldíjmutató:</t>
  </si>
  <si>
    <t>Az előtörlesztési szándékáról írásban értesítenie kell a Bankot. Ilyen esetben a Bank Önnel egyeztetve vagy a havi törlesztőrészletek összegét csökkenti vagy a kölcsön lejárati időpontját változtatja meg változatlan fizetési kötelezettség mellett. Az előtörleszteni kívánt összeg elszámolására a 2009. évi CLXII. törvény (Fhtv.) 25. §-a alapján az előtörlesztési nyilatkozat rendelkezésre bocsátását és az előtörlesztéshez szükséges pénzösszeg Bank által megjelölt számlán/lakossági bankszámlán történő biztosítását követően 5 banki munkanapon belül kerül sor. Amennyiben az esedékes törlesztőrészlet nem kerül megfizetésre, úgy a Bank jogosult az előtörlesztésre szánt összegből az esedékes törlesztőrészletet kiegyenlíteni. Ez esetben a Bank csak az esedékes törlesztőrészlet kiegyenlítése után fennmaradó összeget fordítja előtörlesztésre.  Az előtörlesztés esetén a Bank kizárólag a Hirdetmény szerinti elő-/ végtörlesztési díjat számol fel. 
Minősített Fogyasztóbarát hitel: A bármely lakástakarék-pénztári, a lakástakarék-pénztári szerződésben rögzített összegű havi betét befizetésével a teljes vagy részleges előtörlesztés időpontjáig szerződés szerint elérhető megtakarításból, a hozzá kapcsolódó állami támogatásból és az azokra jóváírt kamatból finanszírozott teljes vagy részleges előtörlesztés annak lejáratakor díjmentes.</t>
  </si>
  <si>
    <t>Szakaszos folyósítású (építési, bővítési, felújítási, korszerűsítési) hitelek esetében a rendelkezésre tartási időszak alatt a kifolyósított hitelrész után kizárólag kamat, a ki nem folyósított hitelrész után rendelkezésre tartási jutalék fizetése történik. A rendelkezésre tartási jutalék mértéke a rendelkezésre tartott összeg 1%-a. A teljes hitelrész folyósítását / rendelkezésre tartási időszak leteltét követően kezdődik meg a tőke törlesztése az annuitás módszerével.
A Bank annuitásos módszerrel határozza meg a törlesztő részletet, mely  tartalmazza a tőkét és a kamatot.
A CSOK Plusz hitelprogram keretében kamattámogatott kölcsön esetén a tőketörlesztést a folyósítás napját követő 13. hónaptól kell megkezdeni.
A támogatott személyek a törlesztés szüneteltetésére jogosultak a legalább 12. hetét elsőként betöltő magzatuk vagy elsőként megszületett gyermekük után. A törlesztés legfeljebb 1 évig szünetel. A szünetelés időtartama alatt a támogatott személy fizetési haladékot kap, azaz nincs tőke- és kamatfizetési kötelezettsége. 
A törlesztés szüneteltetésének ideje alatt felhalmozódott kamatot a hátralévő futamidőben esedékes törlesztőrészletekkel együtt a szüneteltetés lejártát követően a futamidő alatt, évente egyenlő részletekben kell megfizetni. A szüneteltetés lejártát követően a futamidő úgy hosszabbodik meg, hogy az esedékessé váló törlesztőrészlet és a szünetelés alatt keletkező, részletekben megfizetendő kamat összege együttesen ne haladja meg az eredeti szerződés szerinti törlesztőrészletek összegét.</t>
  </si>
  <si>
    <r>
      <rPr>
        <b/>
        <sz val="8"/>
        <color theme="3"/>
        <rFont val="Calibri"/>
        <family val="2"/>
        <charset val="238"/>
      </rPr>
      <t>A lakáshitelek törlesztéséhez kapcsolódó adókedvezményre és egyéb állami támogatásra vonatkozó általános tájékoztatás, illetve tájékoztatás arról, hogy hol lehet további felvilágosítást kapni:</t>
    </r>
    <r>
      <rPr>
        <sz val="8"/>
        <color theme="3"/>
        <rFont val="Calibri"/>
        <family val="2"/>
        <charset val="238"/>
      </rPr>
      <t xml:space="preserve">
Preferált kistelepülésen új egylakásos lakóépület vásárlásához, építéséhez, meglévő lakás bővítéséhez, korszerűsítéséhez
a) vissza nem térítendő állami támogatás (a továbbiakban: családi otthonteremtési kedvezmény),
b) a többgyermekes családok otthonteremtési kamattámogatása, valamint
c) adó-visszatérítési támogatás vehető igénybe a jogszabályi feltételeknek való megfelelés esetén.
CSOK Plusz hitelprogram keretében új lakás vásárlásához, építéséhez, használt lakás vásárlásához, vagy meglévő lakás bővítéséhez 
a) a családok otthonteremtési kamattámogatása (a továbbiakban: kamattámogatás), 
b) a kölcsöntörlesztés szüneteltetés, 
c) gyermekvállalási támogatás vehető igénybe a jogszabályi feltételeknek és a Bank által előírt hitelezési feltételeknek való megfelelés esetén.
További részletek az ajánlatadás során átadott Terméktájékoztatókban, illetve internetes oldalainkon (https://www.erstebank.hu/hu/ebh-nyito/hitelek-es-otthon/lakascelu-tamogatasok és https://www.erstebank.hu/hu/ebh-nyito/hitelek-es-otthon/lakascelu-tamogatasok/kamattamogatott-hitelek)
A családok otthonteremtési kedvezményét, a többgyermekes családok otthonteremtési kamattámogatását, valamint CSOK Plusz hitelprogram részét képező támogatásokat Magyarország Kormánya nyújtja.</t>
    </r>
  </si>
  <si>
    <t>A hitelbírálat várható időtartama 90 nap. Amennyiben a hitelbírálat során a Bank hiánypótlást rendel el, a hiánypótlásra való felszólítástól a hiánypótlás teljesítéséig eltelt idő nem számít bele a 90 napba.
Preferált kistelepülésen többgyermekes családok otthonteremtési kamattámogatott lakáshitelére vonatkozó kérelmet, valamint a CSOK Plusz hitelprogram keretében kamattámogatott kölcsönre vonatkozó kérelmet a Bank lakásvásárlás esetén a kérelem benyújtása napját követő 30 napon belül, lakás építése, bővítése, korszerűsítése esetén a kérelem benyújtása napját követő 60 napon belül bírálja el.
Minősített Fogyasztóbarát termék esetében: a hitelbírálat várható időtartama a befogadást követően az értékbecslés rendelkezésére állásától számított 15 munkanap.</t>
  </si>
  <si>
    <t>A kistelepüléseken nyújtható otthonteremtési támogatásokról szóló 302/2023. (VII. 11.) Korm. rendelet alapján a preferált kistelepülésen többgyermekes családok otthonteremtési kamattámogatott lakáshitel kamata a kamatperiódusoknak megfelelően 1 év  - 1 év - 5 év, majd utána 5 évente változhat. Kamatozása a teljes futamidő alatt az ÁKK Zrt. által közzétett állampapírhozam vagy referenciahozamhoz kötött. A kamat mértéke az ÁKK Zrt. által közzétett állampapírhozam vagy referenciahozam 115 %-ának + 1,00%-kal növelt mértéke, melyhez az állam maximum 25 évig nyújt kamattámogatást. A kamattámogatás mértéke az így meghatározott állampapírhozam vagy referenciahozam alapján számított érték 3 százalékponttal csökkentett mértéke. A Preferált kistelepülésen többgyermekes családok otthonteremtési kamattámogatott lakáshitele nem hordoz kamatkockázatot a jelenleg hatályos kormányrendeletben foglaltak szerint. A többgyermekes családok otthonteremtési kamattámogatása Magyarország Kormánya által nyújtott támogatás.</t>
  </si>
  <si>
    <t>Két gyermek esetén max. 10 M Ft lehet a hitelösszeg, 3 vagy többnél 15 M Ft. Ezt a képletet a Calc!C2-ben, a hitelösszeg data validation-nél használjuk az üzenetküldéshez</t>
  </si>
  <si>
    <t>Az alkalmazandó kamatláb típusa: Kamatperiódusokban rögzített kamatozás – 1 év + 1 év + 5 év , utána a futamidő végéig 5 éves kamatperiódusokban. A kamatperiódus időtartama alatt a kamat változatlan. A kamatláb a jelenleg hatályos jogszabály alatt a teljes futamidő alatt 3%</t>
  </si>
  <si>
    <t>Kamatláb az első 1 éves kamatperiódusra:</t>
  </si>
  <si>
    <t xml:space="preserve">Amennyiben panasza van, kérjük, vegye fel a kapcsolatot:
- ügyfélszolgálatunkkal a +36-1-298 0222 telefonszámon vagy az erste@erstebank.hu e-mail címen,
- Bankunk bármely fiókjában tanácsadóinkkal,
- amennyiben Ön valamely elektronikus banki szolgáltatással rendelkezik, írásban az elektronikus banki rendszeren vagy felületen küldhető elektronikus levélben,
- postai úton a Lakossági Panaszkezelésnek címezve az ERSTE BANK HUNGARY ZRT., 1138 Budapest Népfürdő u. 24-26. címen,
- faxon a +36 1 219 4784 faxszámon.
A panasz kezelésére rendelkezésre álló idő 30 nap.
Amennyiben a panasza helyben nem rendeződik az Ön számára kielégítően a Pénzügyi Békéltető Testülethez is fordulhat.
Részletes információk a www.erstebank.hu/hu/panaszkezeles internetes oldalon.
Egyedi jogvitának nem minősülő (fogyasztóvédelmi vagy egyéb hatósági eljárás alapjául szolgáló a Magyar Nemzeti Bankról szóló 2013. évi CXXXIX. törvényben foglalt kötelezettségszegéssel kapcsolatos) panasz esetén magánszemélyek a Magyar Nemzeti Bankhoz fordulhatnak.
(Cím: Magyar Nemzeti Bank 1534 Budapest BKKP. Pf. 777; Telefon: +36-80-203-776; e-mail cím: ugyfelszolgalat@mnb.hu).
A Magyar Nemzeti Bank tovább szélesítette pénzügyi fogyasztóvédelmi csatornáinak számát azzal, hogy a fogyasztók immár a vármegyeszékhelyek kormányablakainál is beadhatják pénzügyi panasszal kapcsolatos beadványaikat. A hazai vármegyeszékhelyeken, illetve Pest vármegyében a Vácott található kormányablakok (a kormányhivatalok integrált ügyfélszolgálatai) is átveszik a pénzügyi fogyasztóvédelmi beadványokat, és továbbítják azokat az MNB-nek vagy – szerződéses jogvita esetén – a mellette működő Pénzügyi Békéltető Testületnek. További részletek a Felügyelet honlapján:  http://www.mnb.hu/fogyasztovedelem/panaszom-van.
Amennyiben Ön az Európai Unió másik tagállamában rendelkezik lakóhellyel, akkor pénzügyi jogvita / panasz esetén a FIN-NET hálózata lehet az Ön segítségére (http://ec.europa.eu/internal_market/fin-net/).
A FIN-Net az Európai Gazdasági Térség területén működő rendszer, amely a fogyasztók és a pénzügyi szolgáltatók között kialakult határon átnyúló pénzügyi jogviták alternatív vitarendezésére létrejött hálózat.
</t>
  </si>
  <si>
    <t>Lejárt tartozás esetén késedelmi kamat kerül felszámításra. A Bank a késedelmes teljesítéshez kapcsolódó késedelmi kamatot, illetve a követelés érvényesítésével kapcsolatos díjat, költséget a mindenkori Lakossági Hitel Hirdetmény szerint számol fel. Amennyiben az adós a kölcsön visszafizetésével kapcsolatos kötelezettségének az erre való felszólításnak sem tesz eleget, az nem szerződésszerű teljesítésnek (szerződésszegésnek) minősül, melynek következtében a Bank azonnali hatállyal felmondhatja a kölcsönszerződést. A szerződés felmondásával a teljes tartozás lejárttá, egy összegben esedékessé válik, és a tartozás meg nem fizetése esetén a Bank a biztosítékok érvényesítésére jogosult. A tartozás érvényesítése céljából a Bank jogosult igényérvényesíteni eljárást kezdeményezni az Adóssal, Kezessel, Zálogkötelezettel szemben. A felmondott szerződésből eredő tartozások érvényesítésének költségei az Adóst, Kezest és a hitelbiztosíték nyújtóját - azaz a Zálogkötelezettet - terhelik. A tartozások érvényesítése érdekében az Adós és Kezes jövedelme és más vagyontárgyai, illetve az ügylet további biztosítékai egyaránt végrehajtás alá vonhatóak. A hitel fedezetéül felajánlott ingatlan(ok) megrongálódása, megsemmisülése esetén a Bank jogosult új ingatlan fedezet vonását előírni, amelynek elmaradása esetén a Bank azonnali hatállyal felmondhatja a kölcsönszerződést. Amennyiben nehézségei támadnak a havi törlesztőrészletek fizetésével kapcsolatban, kérjük, hogy mielőbb keressen meg minket a +36-1-298 0222-es telefonszámon, hogy megfelelő megoldást találjunk a problémájára. A részletfizetések elmaradása esetén otthona végső esetben végrehajtás alá kerülhet. Preferált kistelepülésen többgyermekes családok otthonteremtési kamattámogatott hitele esetén kamattámogatás nem nyújtható lejárt tőketartozás eseté</t>
  </si>
  <si>
    <t>bármely okú halál + bármely okú, 79%-ot meghaladó mértékű összszervezeti egészségkárosodás + munkanélküliség + balesetből vagy betegségből eredő keresőképtelenség</t>
  </si>
  <si>
    <t>baleseti halál + balesetből eredő, legalább 51%-os mértékű maradandó egészségkárosodás + munkanélküliség + balesetből vagy betegségből eredő keresőképtelenség</t>
  </si>
  <si>
    <t>munkanélküliség + balesetből és betegségből eredő keresőképtelenség</t>
  </si>
  <si>
    <t xml:space="preserve">Amennyiben a hitelügyintézéssel kapcsolatos dokumentumok e-mailben történő kiküldését kérte, azokat az Ön adatainak védelme érdekében, minden esetben titkosítva, jelszóval ellátva juttatjuk el az Ön által megadott e-mail címre. A jelszó a kérelemben elsőként megjelölt Hiteligénylő ügyfél születési évéből és 6 jegyű ügyfélazonosítójából tevődik össze, ami folytatólagosan szóköz és írásjelek nélkül, 10 karakterből áll. Példa: Ha az ügyfél születési éve 1975, és az ügyfélazonosító pedig: P12345, akkor ezekből a jelszó: 1975P12345. Ha az ügyfélazonosító betűt tartalmaz, azt nagy betűvel kell megadni.
</t>
  </si>
  <si>
    <t>20.2.2.10. A teljes munkaidőben alkalmazásban állók kedvezmények nélküli nettó átlagkeresete a munkáltató székhelyének elhelyezkedése alapján, vármegye és régió szerint, negyedévente kumulált (ksh.hu)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</si>
</sst>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0\ &quot;Ft&quot;;\-#,##0\ &quot;Ft&quot;"/>
    <numFmt numFmtId="6" formatCode="#,##0\ &quot;Ft&quot;;[Red]\-#,##0\ &quot;Ft&quot;"/>
    <numFmt numFmtId="42" formatCode="_-* #,##0\ &quot;Ft&quot;_-;\-* #,##0\ &quot;Ft&quot;_-;_-* &quot;-&quot;\ &quot;Ft&quot;_-;_-@_-"/>
    <numFmt numFmtId="44" formatCode="_-* #,##0.00\ &quot;Ft&quot;_-;\-* #,##0.00\ &quot;Ft&quot;_-;_-* &quot;-&quot;??\ &quot;Ft&quot;_-;_-@_-"/>
    <numFmt numFmtId="164" formatCode="_-* #,##0.00\ _F_t_-;\-* #,##0.00\ _F_t_-;_-* &quot;-&quot;??\ _F_t_-;_-@_-"/>
    <numFmt numFmtId="165" formatCode="0.0%"/>
    <numFmt numFmtId="166" formatCode="_-* #,##0.00\ [$€-1]_-;\-* #,##0.00\ [$€-1]_-;_-* &quot;-&quot;??\ [$€-1]_-"/>
    <numFmt numFmtId="167" formatCode="#,##0_ ;\-#,##0"/>
    <numFmt numFmtId="168" formatCode="#,##0\ &quot;Ft&quot;"/>
    <numFmt numFmtId="169" formatCode="0.000%"/>
    <numFmt numFmtId="170" formatCode="_-* #,##0\ [$€-1]_-;\-* #,##0\ [$€-1]_-;_-* &quot;-&quot;\ [$€-1]_-;_-@_-"/>
    <numFmt numFmtId="171" formatCode="0.0000%"/>
    <numFmt numFmtId="172" formatCode="_-* #,##0\ [$Ft-40E]_-;\-* #,##0\ [$Ft-40E]_-;_-* &quot;-&quot;??\ [$Ft-40E]_-;_-@_-"/>
    <numFmt numFmtId="173" formatCode="#,##0.00\ [$EUR]"/>
    <numFmt numFmtId="174" formatCode="_-* #,##0\ &quot;Ft&quot;_-;\-* #,##0\ &quot;Ft&quot;_-;_-* &quot;-&quot;??\ &quot;Ft&quot;_-;_-@_-"/>
    <numFmt numFmtId="175" formatCode="#,##0&quot; hónap&quot;"/>
    <numFmt numFmtId="176" formatCode="yyyy/\ m/\ d\.;@"/>
    <numFmt numFmtId="177" formatCode="_-* #,##0\ _F_t_-;\-* #,##0\ _F_t_-;_-* &quot;-&quot;??\ _F_t_-;_-@_-"/>
  </numFmts>
  <fonts count="65" x14ac:knownFonts="1">
    <font>
      <sz val="10"/>
      <name val="Arial"/>
      <charset val="238"/>
    </font>
    <font>
      <sz val="10"/>
      <name val="Arial"/>
      <family val="2"/>
      <charset val="238"/>
    </font>
    <font>
      <b/>
      <sz val="16"/>
      <name val="Arial"/>
      <family val="2"/>
    </font>
    <font>
      <sz val="12"/>
      <name val="Arial"/>
      <family val="2"/>
    </font>
    <font>
      <u/>
      <sz val="10"/>
      <color indexed="12"/>
      <name val="Arial"/>
      <family val="2"/>
      <charset val="238"/>
    </font>
    <font>
      <sz val="10"/>
      <name val="Arial"/>
      <family val="2"/>
      <charset val="238"/>
    </font>
    <font>
      <sz val="10"/>
      <name val="Arial"/>
      <family val="2"/>
      <charset val="238"/>
    </font>
    <font>
      <sz val="10"/>
      <color indexed="17"/>
      <name val="Arial"/>
      <family val="2"/>
      <charset val="238"/>
    </font>
    <font>
      <sz val="8"/>
      <color indexed="56"/>
      <name val="Calibri"/>
      <family val="2"/>
      <charset val="238"/>
    </font>
    <font>
      <b/>
      <sz val="8"/>
      <color indexed="56"/>
      <name val="Calibri"/>
      <family val="2"/>
      <charset val="238"/>
    </font>
    <font>
      <b/>
      <sz val="10"/>
      <color indexed="62"/>
      <name val="Calibri"/>
      <family val="2"/>
      <charset val="238"/>
    </font>
    <font>
      <sz val="11"/>
      <color theme="1"/>
      <name val="Calibri"/>
      <family val="2"/>
      <charset val="238"/>
      <scheme val="minor"/>
    </font>
    <font>
      <b/>
      <sz val="10"/>
      <color theme="4"/>
      <name val="Calibri"/>
      <family val="2"/>
      <charset val="238"/>
      <scheme val="minor"/>
    </font>
    <font>
      <b/>
      <i/>
      <sz val="10"/>
      <color theme="4"/>
      <name val="Calibri"/>
      <family val="2"/>
      <charset val="238"/>
      <scheme val="minor"/>
    </font>
    <font>
      <sz val="10"/>
      <color theme="4"/>
      <name val="Calibri"/>
      <family val="2"/>
      <charset val="238"/>
      <scheme val="minor"/>
    </font>
    <font>
      <b/>
      <sz val="8"/>
      <color theme="4"/>
      <name val="Calibri"/>
      <family val="2"/>
      <charset val="238"/>
      <scheme val="minor"/>
    </font>
    <font>
      <b/>
      <sz val="10"/>
      <color theme="4" tint="-0.249977111117893"/>
      <name val="Calibri"/>
      <family val="2"/>
      <charset val="238"/>
      <scheme val="minor"/>
    </font>
    <font>
      <sz val="10"/>
      <color theme="0"/>
      <name val="Calibri"/>
      <family val="2"/>
      <charset val="238"/>
      <scheme val="minor"/>
    </font>
    <font>
      <sz val="10"/>
      <name val="Calibri"/>
      <family val="2"/>
      <charset val="238"/>
      <scheme val="minor"/>
    </font>
    <font>
      <sz val="10"/>
      <color rgb="FFCCECFF"/>
      <name val="Calibri"/>
      <family val="2"/>
      <charset val="238"/>
      <scheme val="minor"/>
    </font>
    <font>
      <b/>
      <sz val="10"/>
      <name val="Calibri"/>
      <family val="2"/>
      <charset val="238"/>
      <scheme val="minor"/>
    </font>
    <font>
      <b/>
      <sz val="10"/>
      <color rgb="FFFF0000"/>
      <name val="Calibri"/>
      <family val="2"/>
      <charset val="238"/>
      <scheme val="minor"/>
    </font>
    <font>
      <sz val="10"/>
      <color theme="4"/>
      <name val="Arial"/>
      <family val="2"/>
      <charset val="238"/>
    </font>
    <font>
      <b/>
      <sz val="16"/>
      <color theme="4"/>
      <name val="Arial"/>
      <family val="2"/>
      <charset val="238"/>
    </font>
    <font>
      <b/>
      <sz val="10"/>
      <color theme="4"/>
      <name val="Arial"/>
      <family val="2"/>
      <charset val="238"/>
    </font>
    <font>
      <b/>
      <sz val="16"/>
      <color theme="4" tint="-0.249977111117893"/>
      <name val="Calibri"/>
      <family val="2"/>
      <charset val="238"/>
      <scheme val="minor"/>
    </font>
    <font>
      <sz val="10"/>
      <color theme="4" tint="-0.249977111117893"/>
      <name val="Arial"/>
      <family val="2"/>
      <charset val="238"/>
    </font>
    <font>
      <b/>
      <sz val="10"/>
      <color theme="4" tint="-0.249977111117893"/>
      <name val="Arial"/>
      <family val="2"/>
      <charset val="238"/>
    </font>
    <font>
      <sz val="10"/>
      <color theme="4" tint="-0.249977111117893"/>
      <name val="Calibri"/>
      <family val="2"/>
      <charset val="238"/>
      <scheme val="minor"/>
    </font>
    <font>
      <i/>
      <sz val="10"/>
      <color theme="4" tint="-0.249977111117893"/>
      <name val="Calibri"/>
      <family val="2"/>
      <charset val="238"/>
      <scheme val="minor"/>
    </font>
    <font>
      <b/>
      <i/>
      <sz val="10"/>
      <color theme="4" tint="-0.249977111117893"/>
      <name val="Calibri"/>
      <family val="2"/>
      <charset val="238"/>
      <scheme val="minor"/>
    </font>
    <font>
      <b/>
      <sz val="12"/>
      <color theme="4" tint="-0.249977111117893"/>
      <name val="Calibri"/>
      <family val="2"/>
      <charset val="238"/>
      <scheme val="minor"/>
    </font>
    <font>
      <b/>
      <i/>
      <sz val="12"/>
      <color theme="4" tint="-0.249977111117893"/>
      <name val="Calibri"/>
      <family val="2"/>
      <charset val="238"/>
      <scheme val="minor"/>
    </font>
    <font>
      <i/>
      <sz val="10"/>
      <color theme="4" tint="-0.249977111117893"/>
      <name val="Arial"/>
      <family val="2"/>
    </font>
    <font>
      <sz val="12"/>
      <name val="Calibri"/>
      <family val="2"/>
      <charset val="238"/>
      <scheme val="minor"/>
    </font>
    <font>
      <i/>
      <sz val="12"/>
      <color theme="4" tint="-0.249977111117893"/>
      <name val="Calibri"/>
      <family val="2"/>
      <charset val="238"/>
      <scheme val="minor"/>
    </font>
    <font>
      <sz val="10"/>
      <color rgb="FFFFFFCC"/>
      <name val="Calibri"/>
      <family val="2"/>
      <charset val="238"/>
      <scheme val="minor"/>
    </font>
    <font>
      <sz val="10"/>
      <color rgb="FF99FFCC"/>
      <name val="Calibri"/>
      <family val="2"/>
      <charset val="238"/>
      <scheme val="minor"/>
    </font>
    <font>
      <sz val="10"/>
      <color rgb="FFFF0000"/>
      <name val="Arial"/>
      <family val="2"/>
      <charset val="238"/>
    </font>
    <font>
      <sz val="9"/>
      <color theme="1"/>
      <name val="Calibri"/>
      <family val="2"/>
      <charset val="238"/>
      <scheme val="minor"/>
    </font>
    <font>
      <sz val="10"/>
      <color theme="0"/>
      <name val="Calibri"/>
      <family val="2"/>
      <charset val="238"/>
    </font>
    <font>
      <b/>
      <sz val="8"/>
      <color theme="3"/>
      <name val="Calibri"/>
      <family val="2"/>
      <charset val="238"/>
    </font>
    <font>
      <sz val="8"/>
      <color theme="3"/>
      <name val="Calibri"/>
      <family val="2"/>
      <charset val="238"/>
    </font>
    <font>
      <sz val="6"/>
      <color theme="3"/>
      <name val="Calibri"/>
      <family val="2"/>
      <charset val="238"/>
    </font>
    <font>
      <sz val="10"/>
      <color theme="3"/>
      <name val="Calibri"/>
      <family val="2"/>
      <charset val="238"/>
    </font>
    <font>
      <b/>
      <sz val="6"/>
      <color theme="3"/>
      <name val="Calibri"/>
      <family val="2"/>
      <charset val="238"/>
    </font>
    <font>
      <b/>
      <sz val="8"/>
      <color theme="3"/>
      <name val="Arial Narrow"/>
      <family val="2"/>
      <charset val="238"/>
    </font>
    <font>
      <sz val="8"/>
      <color theme="3"/>
      <name val="Arial Narrow"/>
      <family val="2"/>
      <charset val="238"/>
    </font>
    <font>
      <sz val="10"/>
      <color theme="3"/>
      <name val="Arial"/>
      <family val="2"/>
      <charset val="238"/>
    </font>
    <font>
      <b/>
      <sz val="10"/>
      <color theme="3"/>
      <name val="Calibri"/>
      <family val="2"/>
      <charset val="238"/>
    </font>
    <font>
      <b/>
      <sz val="10"/>
      <color theme="3"/>
      <name val="Arial"/>
      <family val="2"/>
      <charset val="238"/>
    </font>
    <font>
      <sz val="10"/>
      <color theme="0" tint="-0.34998626667073579"/>
      <name val="Calibri"/>
      <family val="2"/>
      <charset val="238"/>
    </font>
    <font>
      <sz val="9"/>
      <name val="Calibri"/>
      <family val="2"/>
      <charset val="238"/>
      <scheme val="minor"/>
    </font>
    <font>
      <b/>
      <i/>
      <sz val="8"/>
      <color theme="3"/>
      <name val="Calibri"/>
      <family val="2"/>
      <charset val="238"/>
    </font>
    <font>
      <sz val="11"/>
      <color theme="3"/>
      <name val="Calibri"/>
      <family val="2"/>
      <charset val="238"/>
    </font>
    <font>
      <b/>
      <sz val="8"/>
      <color theme="3"/>
      <name val="Calibri"/>
      <family val="2"/>
      <charset val="238"/>
      <scheme val="minor"/>
    </font>
    <font>
      <i/>
      <sz val="8"/>
      <name val="Calibri"/>
      <family val="2"/>
      <charset val="238"/>
      <scheme val="minor"/>
    </font>
    <font>
      <sz val="9"/>
      <color indexed="62"/>
      <name val="Calibri"/>
      <family val="2"/>
      <charset val="238"/>
      <scheme val="minor"/>
    </font>
    <font>
      <b/>
      <sz val="10"/>
      <color rgb="FFFF0000"/>
      <name val="Calibri"/>
      <family val="2"/>
      <charset val="238"/>
    </font>
    <font>
      <b/>
      <sz val="10"/>
      <color theme="0"/>
      <name val="Calibri"/>
      <family val="2"/>
      <charset val="238"/>
      <scheme val="minor"/>
    </font>
    <font>
      <sz val="10"/>
      <color rgb="FFFF0000"/>
      <name val="Calibri"/>
      <family val="2"/>
      <charset val="238"/>
      <scheme val="minor"/>
    </font>
    <font>
      <u/>
      <sz val="8"/>
      <color indexed="12"/>
      <name val="Calibri"/>
      <family val="2"/>
      <charset val="238"/>
      <scheme val="minor"/>
    </font>
    <font>
      <b/>
      <sz val="8"/>
      <color rgb="FF003366"/>
      <name val="Calibri"/>
      <family val="2"/>
      <charset val="238"/>
    </font>
    <font>
      <u/>
      <sz val="8"/>
      <color rgb="FF003366"/>
      <name val="Calibri"/>
      <family val="2"/>
      <charset val="238"/>
    </font>
    <font>
      <b/>
      <sz val="10"/>
      <name val="Arial"/>
      <family val="2"/>
      <charset val="238"/>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ECFF"/>
        <bgColor indexed="64"/>
      </patternFill>
    </fill>
    <fill>
      <patternFill patternType="solid">
        <fgColor theme="4" tint="0.79998168889431442"/>
        <bgColor indexed="64"/>
      </patternFill>
    </fill>
    <fill>
      <patternFill patternType="solid">
        <fgColor theme="0"/>
        <bgColor indexed="64"/>
      </patternFill>
    </fill>
    <fill>
      <patternFill patternType="solid">
        <fgColor rgb="FFEAEAEA"/>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ECFF"/>
        <bgColor rgb="FF000000"/>
      </patternFill>
    </fill>
    <fill>
      <patternFill patternType="solid">
        <fgColor rgb="FFFFFF00"/>
        <bgColor rgb="FF000000"/>
      </patternFill>
    </fill>
    <fill>
      <patternFill patternType="solid">
        <fgColor rgb="FFFFC000"/>
        <bgColor indexed="64"/>
      </patternFill>
    </fill>
    <fill>
      <patternFill patternType="solid">
        <fgColor theme="0" tint="-0.149967955565050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medium">
        <color indexed="64"/>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style="medium">
        <color indexed="64"/>
      </right>
      <top style="thin">
        <color indexed="9"/>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9"/>
      </right>
      <top style="thin">
        <color indexed="9"/>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22">
    <xf numFmtId="0" fontId="0" fillId="0" borderId="0"/>
    <xf numFmtId="164"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5" fillId="0" borderId="0"/>
    <xf numFmtId="0" fontId="11" fillId="0" borderId="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585">
    <xf numFmtId="0" fontId="0" fillId="0" borderId="0" xfId="0"/>
    <xf numFmtId="171" fontId="12" fillId="0" borderId="1" xfId="16" applyNumberFormat="1" applyFont="1" applyFill="1" applyBorder="1" applyProtection="1">
      <protection locked="0" hidden="1"/>
    </xf>
    <xf numFmtId="10" fontId="12" fillId="0" borderId="1" xfId="16" applyNumberFormat="1" applyFont="1" applyFill="1" applyBorder="1" applyProtection="1">
      <protection locked="0" hidden="1"/>
    </xf>
    <xf numFmtId="42" fontId="13" fillId="0" borderId="1" xfId="2" applyNumberFormat="1" applyFont="1" applyFill="1" applyBorder="1" applyProtection="1">
      <protection locked="0" hidden="1"/>
    </xf>
    <xf numFmtId="42" fontId="13" fillId="0" borderId="1" xfId="2" applyNumberFormat="1" applyFont="1" applyFill="1" applyBorder="1" applyAlignment="1" applyProtection="1">
      <alignment horizontal="right"/>
      <protection locked="0" hidden="1"/>
    </xf>
    <xf numFmtId="42" fontId="13" fillId="0" borderId="1" xfId="2" applyNumberFormat="1" applyFont="1" applyFill="1" applyBorder="1" applyProtection="1">
      <protection hidden="1"/>
    </xf>
    <xf numFmtId="0" fontId="12" fillId="0" borderId="1" xfId="0" applyFont="1" applyFill="1" applyBorder="1" applyAlignment="1" applyProtection="1">
      <alignment horizontal="right"/>
      <protection locked="0" hidden="1"/>
    </xf>
    <xf numFmtId="0" fontId="14" fillId="0" borderId="0" xfId="0" applyFont="1" applyFill="1" applyProtection="1">
      <protection hidden="1"/>
    </xf>
    <xf numFmtId="0" fontId="12" fillId="0" borderId="1" xfId="0" applyFont="1" applyFill="1" applyBorder="1" applyAlignment="1" applyProtection="1">
      <alignment horizontal="center"/>
      <protection hidden="1"/>
    </xf>
    <xf numFmtId="0" fontId="12" fillId="0" borderId="2" xfId="0" applyFont="1" applyFill="1" applyBorder="1" applyAlignment="1" applyProtection="1">
      <alignment horizontal="center"/>
      <protection hidden="1"/>
    </xf>
    <xf numFmtId="0" fontId="12" fillId="0" borderId="2" xfId="0" applyFont="1" applyFill="1" applyBorder="1" applyAlignment="1" applyProtection="1">
      <alignment horizontal="center" wrapText="1"/>
      <protection hidden="1"/>
    </xf>
    <xf numFmtId="0" fontId="12" fillId="0" borderId="1" xfId="0" quotePrefix="1" applyFont="1" applyFill="1" applyBorder="1" applyAlignment="1" applyProtection="1">
      <alignment horizontal="center" wrapText="1"/>
      <protection hidden="1"/>
    </xf>
    <xf numFmtId="0" fontId="12" fillId="0" borderId="1" xfId="0" applyFont="1" applyFill="1" applyBorder="1" applyAlignment="1" applyProtection="1">
      <alignment horizontal="center" wrapText="1"/>
      <protection hidden="1"/>
    </xf>
    <xf numFmtId="0" fontId="15" fillId="0" borderId="1" xfId="0" applyFont="1" applyFill="1" applyBorder="1" applyAlignment="1" applyProtection="1">
      <alignment horizontal="center" wrapText="1"/>
      <protection hidden="1"/>
    </xf>
    <xf numFmtId="0" fontId="12" fillId="0" borderId="1" xfId="0" applyFont="1" applyFill="1" applyBorder="1" applyProtection="1">
      <protection hidden="1"/>
    </xf>
    <xf numFmtId="6" fontId="12" fillId="0" borderId="1" xfId="0" applyNumberFormat="1" applyFont="1" applyFill="1" applyBorder="1" applyProtection="1">
      <protection hidden="1"/>
    </xf>
    <xf numFmtId="0" fontId="16" fillId="4" borderId="0" xfId="0" applyFont="1" applyFill="1" applyBorder="1" applyAlignment="1" applyProtection="1">
      <alignment horizontal="left" vertical="center"/>
      <protection hidden="1"/>
    </xf>
    <xf numFmtId="0" fontId="14" fillId="4" borderId="0" xfId="0" applyFont="1" applyFill="1" applyProtection="1">
      <protection hidden="1"/>
    </xf>
    <xf numFmtId="0" fontId="17" fillId="4" borderId="0" xfId="0" applyFont="1" applyFill="1" applyProtection="1">
      <protection hidden="1"/>
    </xf>
    <xf numFmtId="0" fontId="18" fillId="4" borderId="0" xfId="0" applyFont="1" applyFill="1" applyProtection="1">
      <protection hidden="1"/>
    </xf>
    <xf numFmtId="0" fontId="18" fillId="0" borderId="0" xfId="0" applyFont="1" applyFill="1" applyProtection="1">
      <protection hidden="1"/>
    </xf>
    <xf numFmtId="0" fontId="19" fillId="4" borderId="0" xfId="0" applyFont="1" applyFill="1" applyProtection="1">
      <protection hidden="1"/>
    </xf>
    <xf numFmtId="10" fontId="12" fillId="0" borderId="1" xfId="16" applyNumberFormat="1" applyFont="1" applyFill="1" applyBorder="1" applyProtection="1">
      <protection hidden="1"/>
    </xf>
    <xf numFmtId="0" fontId="12" fillId="4" borderId="0" xfId="0" applyFont="1" applyFill="1" applyBorder="1" applyProtection="1">
      <protection hidden="1"/>
    </xf>
    <xf numFmtId="10" fontId="12" fillId="4" borderId="0" xfId="16" applyNumberFormat="1" applyFont="1" applyFill="1" applyBorder="1" applyProtection="1">
      <protection hidden="1"/>
    </xf>
    <xf numFmtId="0" fontId="20" fillId="0" borderId="4" xfId="0" applyFont="1" applyFill="1" applyBorder="1" applyAlignment="1" applyProtection="1">
      <alignment vertical="center" wrapText="1"/>
      <protection hidden="1"/>
    </xf>
    <xf numFmtId="0" fontId="20" fillId="0" borderId="5" xfId="0" applyFont="1" applyFill="1" applyBorder="1" applyAlignment="1" applyProtection="1">
      <alignment vertical="center" wrapText="1"/>
      <protection hidden="1"/>
    </xf>
    <xf numFmtId="10" fontId="20" fillId="0" borderId="6" xfId="16" applyNumberFormat="1" applyFont="1" applyFill="1" applyBorder="1" applyProtection="1">
      <protection hidden="1"/>
    </xf>
    <xf numFmtId="0" fontId="12" fillId="0" borderId="1" xfId="0" applyFont="1" applyFill="1" applyBorder="1" applyAlignment="1" applyProtection="1">
      <protection hidden="1"/>
    </xf>
    <xf numFmtId="6" fontId="14" fillId="4" borderId="0" xfId="0" applyNumberFormat="1" applyFont="1" applyFill="1" applyProtection="1">
      <protection hidden="1"/>
    </xf>
    <xf numFmtId="0" fontId="19" fillId="4" borderId="7" xfId="0" applyFont="1" applyFill="1" applyBorder="1" applyProtection="1">
      <protection hidden="1"/>
    </xf>
    <xf numFmtId="0" fontId="17" fillId="4" borderId="7" xfId="0" applyFont="1" applyFill="1" applyBorder="1" applyProtection="1">
      <protection hidden="1"/>
    </xf>
    <xf numFmtId="0" fontId="14" fillId="4" borderId="7" xfId="0" applyFont="1" applyFill="1" applyBorder="1" applyProtection="1">
      <protection hidden="1"/>
    </xf>
    <xf numFmtId="0" fontId="14" fillId="4" borderId="8" xfId="0" applyFont="1" applyFill="1" applyBorder="1" applyProtection="1">
      <protection hidden="1"/>
    </xf>
    <xf numFmtId="165" fontId="21" fillId="0" borderId="1" xfId="0" applyNumberFormat="1" applyFont="1" applyFill="1" applyBorder="1" applyAlignment="1" applyProtection="1">
      <protection locked="0" hidden="1"/>
    </xf>
    <xf numFmtId="0" fontId="22" fillId="5" borderId="0" xfId="0" applyFont="1" applyFill="1" applyAlignment="1" applyProtection="1">
      <alignment horizontal="center"/>
      <protection hidden="1"/>
    </xf>
    <xf numFmtId="0" fontId="22" fillId="5" borderId="0" xfId="0" applyFont="1" applyFill="1" applyProtection="1">
      <protection hidden="1"/>
    </xf>
    <xf numFmtId="0" fontId="23" fillId="5" borderId="0" xfId="0" applyFont="1" applyFill="1" applyAlignment="1" applyProtection="1">
      <alignment vertical="center"/>
      <protection hidden="1"/>
    </xf>
    <xf numFmtId="0" fontId="24" fillId="5" borderId="9" xfId="0" applyFont="1" applyFill="1" applyBorder="1" applyProtection="1">
      <protection hidden="1"/>
    </xf>
    <xf numFmtId="168" fontId="24" fillId="5" borderId="9" xfId="2" applyNumberFormat="1" applyFont="1" applyFill="1" applyBorder="1" applyProtection="1">
      <protection hidden="1"/>
    </xf>
    <xf numFmtId="42" fontId="24" fillId="5" borderId="9" xfId="0" applyNumberFormat="1" applyFont="1" applyFill="1" applyBorder="1" applyProtection="1">
      <protection hidden="1"/>
    </xf>
    <xf numFmtId="0" fontId="22" fillId="5" borderId="0" xfId="0" applyFont="1" applyFill="1" applyBorder="1" applyProtection="1">
      <protection hidden="1"/>
    </xf>
    <xf numFmtId="0" fontId="25" fillId="5" borderId="0" xfId="0" applyFont="1" applyFill="1" applyAlignment="1" applyProtection="1">
      <alignment vertical="center"/>
      <protection hidden="1"/>
    </xf>
    <xf numFmtId="0" fontId="26" fillId="5" borderId="0" xfId="0" applyFont="1" applyFill="1" applyBorder="1" applyProtection="1">
      <protection hidden="1"/>
    </xf>
    <xf numFmtId="42" fontId="27" fillId="0" borderId="1" xfId="0" applyNumberFormat="1" applyFont="1" applyFill="1" applyBorder="1" applyAlignment="1" applyProtection="1">
      <alignment vertical="center" wrapText="1"/>
      <protection hidden="1"/>
    </xf>
    <xf numFmtId="42" fontId="27" fillId="0" borderId="1" xfId="0" applyNumberFormat="1" applyFont="1" applyFill="1" applyBorder="1" applyProtection="1">
      <protection hidden="1"/>
    </xf>
    <xf numFmtId="168" fontId="16" fillId="0" borderId="1" xfId="2" applyNumberFormat="1" applyFont="1" applyFill="1" applyBorder="1" applyAlignment="1" applyProtection="1">
      <alignment vertical="center" wrapText="1"/>
      <protection hidden="1"/>
    </xf>
    <xf numFmtId="168" fontId="16" fillId="0" borderId="1" xfId="2" applyNumberFormat="1" applyFont="1" applyFill="1" applyBorder="1" applyProtection="1">
      <protection hidden="1"/>
    </xf>
    <xf numFmtId="0" fontId="26" fillId="5" borderId="0" xfId="0" applyFont="1" applyFill="1" applyProtection="1">
      <protection hidden="1"/>
    </xf>
    <xf numFmtId="0" fontId="27" fillId="5" borderId="0" xfId="0" applyFont="1" applyFill="1" applyProtection="1">
      <protection hidden="1"/>
    </xf>
    <xf numFmtId="0" fontId="26" fillId="5" borderId="0" xfId="0" applyFont="1" applyFill="1" applyAlignment="1" applyProtection="1">
      <alignment vertical="center" wrapText="1"/>
      <protection hidden="1"/>
    </xf>
    <xf numFmtId="0" fontId="27" fillId="5" borderId="0" xfId="0" applyFont="1" applyFill="1" applyBorder="1" applyProtection="1">
      <protection hidden="1"/>
    </xf>
    <xf numFmtId="168" fontId="27" fillId="5" borderId="0" xfId="2" applyNumberFormat="1" applyFont="1" applyFill="1" applyBorder="1" applyProtection="1">
      <protection hidden="1"/>
    </xf>
    <xf numFmtId="42" fontId="27" fillId="5" borderId="0" xfId="0" applyNumberFormat="1" applyFont="1" applyFill="1" applyBorder="1" applyProtection="1">
      <protection hidden="1"/>
    </xf>
    <xf numFmtId="0" fontId="16" fillId="0" borderId="1" xfId="0" applyFont="1" applyFill="1" applyBorder="1" applyProtection="1">
      <protection hidden="1"/>
    </xf>
    <xf numFmtId="170" fontId="16" fillId="0" borderId="1" xfId="2" applyNumberFormat="1" applyFont="1" applyFill="1" applyBorder="1" applyAlignment="1" applyProtection="1">
      <alignment horizontal="center"/>
      <protection hidden="1"/>
    </xf>
    <xf numFmtId="0" fontId="28" fillId="0" borderId="1" xfId="0" applyFont="1" applyFill="1" applyBorder="1" applyAlignment="1" applyProtection="1">
      <alignment vertical="center" wrapText="1"/>
      <protection hidden="1"/>
    </xf>
    <xf numFmtId="0" fontId="16" fillId="0" borderId="1" xfId="0" applyFont="1" applyFill="1" applyBorder="1" applyAlignment="1" applyProtection="1">
      <alignment vertical="center" wrapText="1"/>
      <protection hidden="1"/>
    </xf>
    <xf numFmtId="6" fontId="14" fillId="6" borderId="0" xfId="0" applyNumberFormat="1" applyFont="1" applyFill="1" applyProtection="1">
      <protection hidden="1"/>
    </xf>
    <xf numFmtId="0" fontId="0" fillId="5" borderId="0" xfId="0" applyFill="1" applyProtection="1">
      <protection hidden="1"/>
    </xf>
    <xf numFmtId="0" fontId="0" fillId="5" borderId="0" xfId="0" applyFill="1" applyAlignment="1" applyProtection="1">
      <alignment horizontal="center"/>
      <protection hidden="1"/>
    </xf>
    <xf numFmtId="0" fontId="16" fillId="6" borderId="10" xfId="0" applyFont="1" applyFill="1" applyBorder="1" applyAlignment="1" applyProtection="1">
      <alignment horizontal="center" vertical="center"/>
      <protection hidden="1"/>
    </xf>
    <xf numFmtId="0" fontId="16" fillId="6" borderId="11" xfId="0" applyFont="1" applyFill="1" applyBorder="1" applyAlignment="1" applyProtection="1">
      <alignment horizontal="center" vertical="center"/>
      <protection hidden="1"/>
    </xf>
    <xf numFmtId="0" fontId="16" fillId="6" borderId="12" xfId="0" applyFont="1" applyFill="1" applyBorder="1" applyAlignment="1" applyProtection="1">
      <alignment horizontal="center" vertical="center"/>
      <protection hidden="1"/>
    </xf>
    <xf numFmtId="0" fontId="16" fillId="6" borderId="11" xfId="0" applyFont="1" applyFill="1" applyBorder="1" applyAlignment="1" applyProtection="1">
      <alignment horizontal="center" vertical="center" wrapText="1"/>
      <protection hidden="1"/>
    </xf>
    <xf numFmtId="0" fontId="16" fillId="6" borderId="13" xfId="0" applyFont="1" applyFill="1" applyBorder="1" applyAlignment="1" applyProtection="1">
      <alignment horizontal="center" vertical="center"/>
      <protection hidden="1"/>
    </xf>
    <xf numFmtId="0" fontId="28" fillId="6" borderId="14" xfId="0" applyFont="1" applyFill="1" applyBorder="1" applyAlignment="1" applyProtection="1">
      <alignment horizontal="center"/>
      <protection hidden="1"/>
    </xf>
    <xf numFmtId="6" fontId="28" fillId="6" borderId="0" xfId="0" applyNumberFormat="1" applyFont="1" applyFill="1" applyBorder="1" applyProtection="1">
      <protection hidden="1"/>
    </xf>
    <xf numFmtId="6" fontId="28" fillId="6" borderId="15" xfId="0" applyNumberFormat="1" applyFont="1" applyFill="1" applyBorder="1" applyProtection="1">
      <protection hidden="1"/>
    </xf>
    <xf numFmtId="6" fontId="28" fillId="6" borderId="16" xfId="0" applyNumberFormat="1" applyFont="1" applyFill="1" applyBorder="1" applyProtection="1">
      <protection hidden="1"/>
    </xf>
    <xf numFmtId="0" fontId="28" fillId="6" borderId="17" xfId="0" applyFont="1" applyFill="1" applyBorder="1" applyAlignment="1" applyProtection="1">
      <alignment horizontal="center"/>
      <protection hidden="1"/>
    </xf>
    <xf numFmtId="6" fontId="28" fillId="6" borderId="18" xfId="0" applyNumberFormat="1" applyFont="1" applyFill="1" applyBorder="1" applyProtection="1">
      <protection hidden="1"/>
    </xf>
    <xf numFmtId="6" fontId="28" fillId="6" borderId="19" xfId="0" applyNumberFormat="1" applyFont="1" applyFill="1" applyBorder="1" applyProtection="1">
      <protection hidden="1"/>
    </xf>
    <xf numFmtId="6" fontId="28" fillId="6" borderId="20" xfId="0" applyNumberFormat="1" applyFont="1" applyFill="1" applyBorder="1" applyProtection="1">
      <protection hidden="1"/>
    </xf>
    <xf numFmtId="0" fontId="29" fillId="5" borderId="0" xfId="0" applyFont="1" applyFill="1" applyProtection="1">
      <protection hidden="1"/>
    </xf>
    <xf numFmtId="0" fontId="28" fillId="6" borderId="21" xfId="0" applyFont="1" applyFill="1" applyBorder="1" applyAlignment="1" applyProtection="1">
      <alignment horizontal="center"/>
      <protection hidden="1"/>
    </xf>
    <xf numFmtId="6" fontId="28" fillId="6" borderId="9" xfId="0" applyNumberFormat="1" applyFont="1" applyFill="1" applyBorder="1" applyProtection="1">
      <protection hidden="1"/>
    </xf>
    <xf numFmtId="6" fontId="28" fillId="6" borderId="21" xfId="0" applyNumberFormat="1" applyFont="1" applyFill="1" applyBorder="1" applyProtection="1">
      <protection hidden="1"/>
    </xf>
    <xf numFmtId="0" fontId="28" fillId="6" borderId="15" xfId="0" applyFont="1" applyFill="1" applyBorder="1" applyAlignment="1" applyProtection="1">
      <alignment horizontal="center"/>
      <protection hidden="1"/>
    </xf>
    <xf numFmtId="0" fontId="28" fillId="6" borderId="22" xfId="0" applyFont="1" applyFill="1" applyBorder="1" applyAlignment="1" applyProtection="1">
      <alignment horizontal="center"/>
      <protection hidden="1"/>
    </xf>
    <xf numFmtId="6" fontId="28" fillId="6" borderId="23" xfId="0" applyNumberFormat="1" applyFont="1" applyFill="1" applyBorder="1" applyProtection="1">
      <protection hidden="1"/>
    </xf>
    <xf numFmtId="6" fontId="28" fillId="6" borderId="22" xfId="0" applyNumberFormat="1" applyFont="1" applyFill="1" applyBorder="1" applyProtection="1">
      <protection hidden="1"/>
    </xf>
    <xf numFmtId="10" fontId="16" fillId="0" borderId="63" xfId="0" applyNumberFormat="1" applyFont="1" applyFill="1" applyBorder="1" applyProtection="1">
      <protection hidden="1"/>
    </xf>
    <xf numFmtId="0" fontId="16" fillId="6" borderId="63" xfId="0" applyFont="1" applyFill="1" applyBorder="1" applyProtection="1">
      <protection hidden="1"/>
    </xf>
    <xf numFmtId="42" fontId="16" fillId="6" borderId="1" xfId="2" applyNumberFormat="1" applyFont="1" applyFill="1" applyBorder="1" applyProtection="1">
      <protection hidden="1"/>
    </xf>
    <xf numFmtId="1" fontId="16" fillId="6" borderId="1" xfId="0" applyNumberFormat="1" applyFont="1" applyFill="1" applyBorder="1" applyProtection="1">
      <protection hidden="1"/>
    </xf>
    <xf numFmtId="10" fontId="16" fillId="6" borderId="1" xfId="16" applyNumberFormat="1" applyFont="1" applyFill="1" applyBorder="1" applyProtection="1">
      <protection hidden="1"/>
    </xf>
    <xf numFmtId="42" fontId="30" fillId="6" borderId="1" xfId="2" applyNumberFormat="1" applyFont="1" applyFill="1" applyBorder="1" applyProtection="1">
      <protection hidden="1"/>
    </xf>
    <xf numFmtId="0" fontId="16" fillId="6" borderId="1" xfId="0" applyFont="1" applyFill="1" applyBorder="1" applyAlignment="1" applyProtection="1">
      <alignment horizontal="right"/>
      <protection hidden="1"/>
    </xf>
    <xf numFmtId="0" fontId="16" fillId="0" borderId="64" xfId="0" applyFont="1" applyFill="1" applyBorder="1" applyProtection="1">
      <protection hidden="1"/>
    </xf>
    <xf numFmtId="10" fontId="31" fillId="0" borderId="63" xfId="0" applyNumberFormat="1" applyFont="1" applyFill="1" applyBorder="1" applyProtection="1">
      <protection hidden="1"/>
    </xf>
    <xf numFmtId="42" fontId="31" fillId="0" borderId="1" xfId="2" applyNumberFormat="1" applyFont="1" applyFill="1" applyBorder="1" applyProtection="1">
      <protection hidden="1"/>
    </xf>
    <xf numFmtId="1" fontId="31" fillId="0" borderId="1" xfId="0" applyNumberFormat="1" applyFont="1" applyFill="1" applyBorder="1" applyProtection="1">
      <protection hidden="1"/>
    </xf>
    <xf numFmtId="10" fontId="31" fillId="0" borderId="1" xfId="16" applyNumberFormat="1" applyFont="1" applyFill="1" applyBorder="1" applyProtection="1">
      <protection hidden="1"/>
    </xf>
    <xf numFmtId="42" fontId="32" fillId="0" borderId="1" xfId="2" applyNumberFormat="1" applyFont="1" applyFill="1" applyBorder="1" applyProtection="1">
      <protection hidden="1"/>
    </xf>
    <xf numFmtId="0" fontId="31" fillId="0" borderId="1" xfId="0" applyFont="1" applyFill="1" applyBorder="1" applyAlignment="1" applyProtection="1">
      <alignment horizontal="right"/>
      <protection hidden="1"/>
    </xf>
    <xf numFmtId="0" fontId="0" fillId="4" borderId="0" xfId="0" applyFill="1" applyProtection="1">
      <protection hidden="1"/>
    </xf>
    <xf numFmtId="0" fontId="0" fillId="4" borderId="0" xfId="0" applyFill="1" applyAlignment="1" applyProtection="1">
      <alignment horizontal="center"/>
      <protection hidden="1"/>
    </xf>
    <xf numFmtId="0" fontId="3" fillId="4" borderId="0" xfId="0" applyFont="1" applyFill="1" applyProtection="1">
      <protection hidden="1"/>
    </xf>
    <xf numFmtId="0" fontId="33" fillId="4" borderId="0" xfId="0" applyFont="1" applyFill="1" applyProtection="1">
      <protection hidden="1"/>
    </xf>
    <xf numFmtId="0" fontId="34" fillId="4" borderId="0" xfId="0" applyFont="1" applyFill="1" applyProtection="1">
      <protection hidden="1"/>
    </xf>
    <xf numFmtId="0" fontId="3" fillId="4" borderId="0" xfId="0" applyFont="1" applyFill="1" applyBorder="1" applyProtection="1">
      <protection hidden="1"/>
    </xf>
    <xf numFmtId="0" fontId="34" fillId="6" borderId="7" xfId="0" applyFont="1" applyFill="1" applyBorder="1" applyProtection="1">
      <protection hidden="1"/>
    </xf>
    <xf numFmtId="0" fontId="35" fillId="6" borderId="0" xfId="0" quotePrefix="1" applyFont="1" applyFill="1" applyBorder="1" applyProtection="1">
      <protection hidden="1"/>
    </xf>
    <xf numFmtId="6" fontId="35" fillId="6" borderId="24" xfId="0" applyNumberFormat="1" applyFont="1" applyFill="1" applyBorder="1" applyProtection="1">
      <protection hidden="1"/>
    </xf>
    <xf numFmtId="0" fontId="34" fillId="6" borderId="8" xfId="0" applyFont="1" applyFill="1" applyBorder="1" applyProtection="1">
      <protection hidden="1"/>
    </xf>
    <xf numFmtId="0" fontId="31" fillId="6" borderId="23" xfId="0" quotePrefix="1" applyFont="1" applyFill="1" applyBorder="1" applyProtection="1">
      <protection hidden="1"/>
    </xf>
    <xf numFmtId="6" fontId="31" fillId="6" borderId="5" xfId="0" applyNumberFormat="1" applyFont="1" applyFill="1" applyBorder="1" applyProtection="1">
      <protection hidden="1"/>
    </xf>
    <xf numFmtId="3" fontId="31" fillId="0" borderId="22" xfId="0" applyNumberFormat="1" applyFont="1" applyFill="1" applyBorder="1" applyProtection="1">
      <protection hidden="1"/>
    </xf>
    <xf numFmtId="0" fontId="14" fillId="6" borderId="15" xfId="0" applyFont="1" applyFill="1" applyBorder="1" applyProtection="1">
      <protection hidden="1"/>
    </xf>
    <xf numFmtId="0" fontId="14" fillId="6" borderId="0" xfId="0" applyFont="1" applyFill="1" applyProtection="1">
      <protection hidden="1"/>
    </xf>
    <xf numFmtId="1" fontId="14" fillId="6" borderId="15" xfId="0" applyNumberFormat="1" applyFont="1" applyFill="1" applyBorder="1" applyProtection="1">
      <protection hidden="1"/>
    </xf>
    <xf numFmtId="0" fontId="12" fillId="4" borderId="1" xfId="0" applyFont="1" applyFill="1" applyBorder="1" applyAlignment="1" applyProtection="1">
      <alignment horizontal="center" wrapText="1"/>
      <protection hidden="1"/>
    </xf>
    <xf numFmtId="1" fontId="21" fillId="7" borderId="1" xfId="0" applyNumberFormat="1" applyFont="1" applyFill="1" applyBorder="1" applyAlignment="1" applyProtection="1">
      <alignment vertical="center"/>
      <protection locked="0" hidden="1"/>
    </xf>
    <xf numFmtId="172" fontId="21" fillId="7" borderId="1" xfId="1" applyNumberFormat="1" applyFont="1" applyFill="1" applyBorder="1" applyAlignment="1" applyProtection="1">
      <alignment vertical="center"/>
      <protection locked="0" hidden="1"/>
    </xf>
    <xf numFmtId="0" fontId="20" fillId="4" borderId="0" xfId="0" applyFont="1" applyFill="1" applyBorder="1" applyAlignment="1" applyProtection="1">
      <alignment horizontal="left" vertical="center"/>
      <protection hidden="1"/>
    </xf>
    <xf numFmtId="6" fontId="14" fillId="0" borderId="15" xfId="0" applyNumberFormat="1" applyFont="1" applyFill="1" applyBorder="1" applyProtection="1">
      <protection hidden="1"/>
    </xf>
    <xf numFmtId="6" fontId="14" fillId="0" borderId="0" xfId="0" applyNumberFormat="1" applyFont="1" applyFill="1" applyProtection="1">
      <protection hidden="1"/>
    </xf>
    <xf numFmtId="0" fontId="12" fillId="8" borderId="1" xfId="0" applyFont="1" applyFill="1" applyBorder="1" applyAlignment="1" applyProtection="1">
      <alignment horizontal="center" wrapText="1"/>
      <protection hidden="1"/>
    </xf>
    <xf numFmtId="168" fontId="14" fillId="8" borderId="15" xfId="0" applyNumberFormat="1" applyFont="1" applyFill="1" applyBorder="1" applyProtection="1">
      <protection hidden="1"/>
    </xf>
    <xf numFmtId="6" fontId="12" fillId="8" borderId="1" xfId="0" applyNumberFormat="1" applyFont="1" applyFill="1" applyBorder="1" applyProtection="1">
      <protection hidden="1"/>
    </xf>
    <xf numFmtId="42" fontId="36" fillId="8" borderId="21" xfId="0" applyNumberFormat="1" applyFont="1" applyFill="1" applyBorder="1" applyProtection="1">
      <protection hidden="1"/>
    </xf>
    <xf numFmtId="168" fontId="36" fillId="8" borderId="15" xfId="0" applyNumberFormat="1" applyFont="1" applyFill="1" applyBorder="1" applyProtection="1">
      <protection hidden="1"/>
    </xf>
    <xf numFmtId="167" fontId="17" fillId="6" borderId="15" xfId="0" applyNumberFormat="1" applyFont="1" applyFill="1" applyBorder="1" applyProtection="1">
      <protection hidden="1"/>
    </xf>
    <xf numFmtId="0" fontId="5" fillId="4" borderId="0" xfId="0" applyFont="1" applyFill="1" applyAlignment="1">
      <alignment horizontal="center"/>
    </xf>
    <xf numFmtId="0" fontId="37" fillId="4" borderId="0" xfId="0" applyFont="1" applyFill="1" applyProtection="1">
      <protection hidden="1"/>
    </xf>
    <xf numFmtId="6" fontId="14" fillId="9" borderId="0" xfId="0" applyNumberFormat="1" applyFont="1" applyFill="1" applyProtection="1">
      <protection hidden="1"/>
    </xf>
    <xf numFmtId="0" fontId="14" fillId="9" borderId="0" xfId="0" applyFont="1" applyFill="1" applyProtection="1">
      <protection hidden="1"/>
    </xf>
    <xf numFmtId="0" fontId="12" fillId="8" borderId="1" xfId="0" applyFont="1" applyFill="1" applyBorder="1" applyAlignment="1" applyProtection="1">
      <protection hidden="1"/>
    </xf>
    <xf numFmtId="10" fontId="12" fillId="8" borderId="1" xfId="0" applyNumberFormat="1" applyFont="1" applyFill="1" applyBorder="1" applyAlignment="1" applyProtection="1">
      <protection hidden="1"/>
    </xf>
    <xf numFmtId="0" fontId="5" fillId="0" borderId="0" xfId="10" applyAlignment="1">
      <alignment wrapText="1"/>
    </xf>
    <xf numFmtId="0" fontId="5" fillId="0" borderId="0" xfId="10"/>
    <xf numFmtId="0" fontId="5" fillId="0" borderId="0" xfId="10" applyBorder="1"/>
    <xf numFmtId="0" fontId="5" fillId="0" borderId="0" xfId="10" applyFont="1" applyAlignment="1">
      <alignment wrapText="1"/>
    </xf>
    <xf numFmtId="0" fontId="5" fillId="0" borderId="0" xfId="11"/>
    <xf numFmtId="0" fontId="7" fillId="0" borderId="0" xfId="10" applyFont="1"/>
    <xf numFmtId="0" fontId="5" fillId="0" borderId="1" xfId="10" applyFont="1" applyBorder="1"/>
    <xf numFmtId="0" fontId="5" fillId="0" borderId="1" xfId="10" applyFont="1" applyFill="1" applyBorder="1" applyAlignment="1">
      <alignment wrapText="1"/>
    </xf>
    <xf numFmtId="0" fontId="18" fillId="4" borderId="0" xfId="0" applyFont="1" applyFill="1" applyProtection="1">
      <protection locked="0"/>
    </xf>
    <xf numFmtId="0" fontId="5" fillId="0" borderId="1" xfId="10" applyFont="1" applyFill="1" applyBorder="1"/>
    <xf numFmtId="171" fontId="38" fillId="0" borderId="1" xfId="10" applyNumberFormat="1" applyFont="1" applyBorder="1" applyAlignment="1">
      <alignment wrapText="1"/>
    </xf>
    <xf numFmtId="171" fontId="5" fillId="10" borderId="1" xfId="10" applyNumberFormat="1" applyFill="1" applyBorder="1"/>
    <xf numFmtId="174" fontId="38" fillId="3" borderId="0" xfId="14" applyNumberFormat="1" applyFont="1" applyFill="1"/>
    <xf numFmtId="0" fontId="38" fillId="3" borderId="0" xfId="10" applyFont="1" applyFill="1"/>
    <xf numFmtId="169" fontId="5" fillId="0" borderId="1" xfId="10" applyNumberFormat="1" applyBorder="1"/>
    <xf numFmtId="0" fontId="5" fillId="0" borderId="1" xfId="10" applyBorder="1" applyAlignment="1">
      <alignment wrapText="1"/>
    </xf>
    <xf numFmtId="0" fontId="5" fillId="0" borderId="1" xfId="10" applyFont="1" applyBorder="1" applyAlignment="1">
      <alignment wrapText="1"/>
    </xf>
    <xf numFmtId="0" fontId="39" fillId="0" borderId="1" xfId="12" applyFont="1" applyFill="1" applyBorder="1" applyAlignment="1">
      <alignment wrapText="1"/>
    </xf>
    <xf numFmtId="0" fontId="16" fillId="4" borderId="0" xfId="0" applyFont="1" applyFill="1" applyBorder="1" applyAlignment="1" applyProtection="1">
      <alignment horizontal="left" vertical="center"/>
      <protection hidden="1"/>
    </xf>
    <xf numFmtId="0" fontId="14" fillId="0" borderId="15" xfId="0" applyFont="1" applyFill="1" applyBorder="1" applyProtection="1">
      <protection hidden="1"/>
    </xf>
    <xf numFmtId="0" fontId="14" fillId="4" borderId="0" xfId="0" applyFont="1" applyFill="1" applyAlignment="1" applyProtection="1">
      <protection hidden="1"/>
    </xf>
    <xf numFmtId="0" fontId="16" fillId="4" borderId="0" xfId="0" applyFont="1" applyFill="1" applyBorder="1" applyAlignment="1" applyProtection="1">
      <alignment horizontal="left" vertical="center"/>
      <protection hidden="1"/>
    </xf>
    <xf numFmtId="0" fontId="40" fillId="6" borderId="25" xfId="10" applyFont="1" applyFill="1" applyBorder="1" applyProtection="1">
      <protection hidden="1"/>
    </xf>
    <xf numFmtId="49" fontId="41" fillId="11" borderId="26" xfId="0" applyNumberFormat="1" applyFont="1" applyFill="1" applyBorder="1" applyAlignment="1" applyProtection="1">
      <alignment horizontal="justify" vertical="top"/>
      <protection hidden="1"/>
    </xf>
    <xf numFmtId="0" fontId="42" fillId="11" borderId="27" xfId="0" applyFont="1" applyFill="1" applyBorder="1" applyAlignment="1" applyProtection="1">
      <alignment vertical="top"/>
      <protection hidden="1"/>
    </xf>
    <xf numFmtId="0" fontId="42" fillId="11" borderId="14" xfId="0" applyFont="1" applyFill="1" applyBorder="1" applyAlignment="1" applyProtection="1">
      <alignment vertical="top"/>
      <protection hidden="1"/>
    </xf>
    <xf numFmtId="6" fontId="41" fillId="0" borderId="0" xfId="0" applyNumberFormat="1" applyFont="1" applyFill="1" applyBorder="1" applyAlignment="1" applyProtection="1">
      <alignment vertical="center" wrapText="1"/>
      <protection hidden="1"/>
    </xf>
    <xf numFmtId="0" fontId="41" fillId="0" borderId="0" xfId="0" applyNumberFormat="1" applyFont="1" applyFill="1" applyBorder="1" applyAlignment="1" applyProtection="1">
      <alignment vertical="center" wrapText="1"/>
      <protection hidden="1"/>
    </xf>
    <xf numFmtId="0" fontId="42" fillId="0" borderId="25" xfId="0" applyFont="1" applyFill="1" applyBorder="1" applyAlignment="1" applyProtection="1">
      <alignment horizontal="left" vertical="center" wrapText="1"/>
      <protection hidden="1"/>
    </xf>
    <xf numFmtId="0" fontId="41" fillId="0" borderId="0" xfId="0" applyFont="1" applyFill="1" applyBorder="1" applyAlignment="1" applyProtection="1">
      <alignment vertical="center" wrapText="1"/>
      <protection hidden="1"/>
    </xf>
    <xf numFmtId="0" fontId="41" fillId="0" borderId="25" xfId="0" applyFont="1" applyFill="1" applyBorder="1" applyAlignment="1" applyProtection="1">
      <alignment vertical="center" wrapText="1"/>
      <protection hidden="1"/>
    </xf>
    <xf numFmtId="10" fontId="41" fillId="0" borderId="0" xfId="0" applyNumberFormat="1" applyFont="1" applyFill="1" applyBorder="1" applyAlignment="1" applyProtection="1">
      <alignment vertical="center" wrapText="1"/>
      <protection hidden="1"/>
    </xf>
    <xf numFmtId="0" fontId="42" fillId="0" borderId="0" xfId="0" applyFont="1" applyFill="1" applyBorder="1" applyAlignment="1" applyProtection="1">
      <alignment vertical="center" wrapText="1"/>
      <protection hidden="1"/>
    </xf>
    <xf numFmtId="0" fontId="42" fillId="0" borderId="25" xfId="0" applyFont="1" applyFill="1" applyBorder="1" applyAlignment="1" applyProtection="1">
      <alignment vertical="center" wrapText="1"/>
      <protection hidden="1"/>
    </xf>
    <xf numFmtId="6" fontId="41" fillId="0" borderId="23" xfId="0" applyNumberFormat="1" applyFont="1" applyFill="1" applyBorder="1" applyAlignment="1" applyProtection="1">
      <alignment vertical="center" wrapText="1"/>
      <protection hidden="1"/>
    </xf>
    <xf numFmtId="0" fontId="41" fillId="0" borderId="23" xfId="0" applyFont="1" applyFill="1" applyBorder="1" applyAlignment="1" applyProtection="1">
      <alignment vertical="center" wrapText="1"/>
      <protection hidden="1"/>
    </xf>
    <xf numFmtId="0" fontId="41" fillId="0" borderId="28" xfId="0" applyFont="1" applyFill="1" applyBorder="1" applyAlignment="1" applyProtection="1">
      <alignment vertical="center" wrapText="1"/>
      <protection hidden="1"/>
    </xf>
    <xf numFmtId="10" fontId="41" fillId="0" borderId="9" xfId="0" applyNumberFormat="1" applyFont="1" applyFill="1" applyBorder="1" applyAlignment="1" applyProtection="1">
      <alignment vertical="center" wrapText="1"/>
      <protection hidden="1"/>
    </xf>
    <xf numFmtId="0" fontId="42" fillId="0" borderId="9" xfId="0" applyFont="1" applyFill="1" applyBorder="1" applyAlignment="1" applyProtection="1">
      <alignment vertical="center" wrapText="1"/>
      <protection hidden="1"/>
    </xf>
    <xf numFmtId="0" fontId="42" fillId="0" borderId="29" xfId="0" applyFont="1" applyFill="1" applyBorder="1" applyAlignment="1" applyProtection="1">
      <alignment vertical="center" wrapText="1"/>
      <protection hidden="1"/>
    </xf>
    <xf numFmtId="49" fontId="41" fillId="11" borderId="27" xfId="0" applyNumberFormat="1" applyFont="1" applyFill="1" applyBorder="1" applyAlignment="1" applyProtection="1">
      <alignment horizontal="justify" vertical="top"/>
      <protection hidden="1"/>
    </xf>
    <xf numFmtId="0" fontId="42" fillId="0" borderId="28" xfId="10" applyFont="1" applyFill="1" applyBorder="1" applyAlignment="1" applyProtection="1">
      <alignment horizontal="left" vertical="top" wrapText="1"/>
      <protection hidden="1"/>
    </xf>
    <xf numFmtId="0" fontId="42" fillId="0" borderId="0" xfId="10" applyFont="1" applyFill="1" applyBorder="1" applyAlignment="1" applyProtection="1">
      <alignment horizontal="left" vertical="top" wrapText="1"/>
      <protection hidden="1"/>
    </xf>
    <xf numFmtId="0" fontId="42" fillId="0" borderId="25" xfId="10" applyFont="1" applyFill="1" applyBorder="1" applyAlignment="1" applyProtection="1">
      <alignment horizontal="left" vertical="top" wrapText="1"/>
      <protection hidden="1"/>
    </xf>
    <xf numFmtId="0" fontId="43" fillId="0" borderId="6" xfId="10" applyFont="1" applyFill="1" applyBorder="1" applyAlignment="1" applyProtection="1">
      <alignment horizontal="center" vertical="top" wrapText="1"/>
      <protection hidden="1"/>
    </xf>
    <xf numFmtId="0" fontId="43" fillId="0" borderId="1" xfId="10" applyFont="1" applyFill="1" applyBorder="1" applyAlignment="1" applyProtection="1">
      <alignment horizontal="center" vertical="top" wrapText="1"/>
      <protection hidden="1"/>
    </xf>
    <xf numFmtId="9" fontId="43" fillId="0" borderId="1" xfId="10" applyNumberFormat="1" applyFont="1" applyFill="1" applyBorder="1" applyAlignment="1" applyProtection="1">
      <alignment horizontal="center" vertical="top" wrapText="1"/>
      <protection hidden="1"/>
    </xf>
    <xf numFmtId="0" fontId="44" fillId="6" borderId="25" xfId="10" applyFont="1" applyFill="1" applyBorder="1" applyProtection="1">
      <protection hidden="1"/>
    </xf>
    <xf numFmtId="0" fontId="43" fillId="0" borderId="6" xfId="10" applyFont="1" applyFill="1" applyBorder="1" applyAlignment="1" applyProtection="1">
      <alignment wrapText="1"/>
      <protection hidden="1"/>
    </xf>
    <xf numFmtId="168" fontId="43" fillId="0" borderId="1" xfId="10" applyNumberFormat="1" applyFont="1" applyFill="1" applyBorder="1" applyAlignment="1" applyProtection="1">
      <alignment horizontal="right"/>
      <protection hidden="1"/>
    </xf>
    <xf numFmtId="168" fontId="43" fillId="0" borderId="6" xfId="10" applyNumberFormat="1" applyFont="1" applyFill="1" applyBorder="1" applyProtection="1">
      <protection hidden="1"/>
    </xf>
    <xf numFmtId="0" fontId="43" fillId="0" borderId="6" xfId="10" applyFont="1" applyFill="1" applyBorder="1" applyProtection="1">
      <protection hidden="1"/>
    </xf>
    <xf numFmtId="168" fontId="43" fillId="0" borderId="1" xfId="10" applyNumberFormat="1" applyFont="1" applyFill="1" applyBorder="1" applyProtection="1">
      <protection hidden="1"/>
    </xf>
    <xf numFmtId="168" fontId="45" fillId="0" borderId="1" xfId="10" applyNumberFormat="1" applyFont="1" applyFill="1" applyBorder="1" applyAlignment="1" applyProtection="1">
      <alignment horizontal="right"/>
      <protection hidden="1"/>
    </xf>
    <xf numFmtId="0" fontId="44" fillId="6" borderId="16" xfId="10" applyFont="1" applyFill="1" applyBorder="1" applyProtection="1">
      <protection hidden="1"/>
    </xf>
    <xf numFmtId="173" fontId="43" fillId="0" borderId="1" xfId="10" applyNumberFormat="1" applyFont="1" applyFill="1" applyBorder="1" applyProtection="1">
      <protection hidden="1"/>
    </xf>
    <xf numFmtId="168" fontId="45" fillId="9" borderId="1" xfId="10" applyNumberFormat="1" applyFont="1" applyFill="1" applyBorder="1" applyAlignment="1" applyProtection="1">
      <alignment horizontal="right"/>
      <protection hidden="1"/>
    </xf>
    <xf numFmtId="0" fontId="46" fillId="6" borderId="0" xfId="10" applyFont="1" applyFill="1" applyBorder="1" applyAlignment="1" applyProtection="1">
      <alignment horizontal="left" wrapText="1"/>
      <protection hidden="1"/>
    </xf>
    <xf numFmtId="0" fontId="46" fillId="0" borderId="25" xfId="10" applyFont="1" applyFill="1" applyBorder="1" applyAlignment="1" applyProtection="1">
      <alignment horizontal="left" wrapText="1"/>
      <protection hidden="1"/>
    </xf>
    <xf numFmtId="0" fontId="47" fillId="0" borderId="30" xfId="10" applyFont="1" applyFill="1" applyBorder="1" applyAlignment="1" applyProtection="1">
      <protection hidden="1"/>
    </xf>
    <xf numFmtId="0" fontId="47" fillId="0" borderId="31" xfId="10" applyFont="1" applyFill="1" applyBorder="1" applyProtection="1">
      <protection hidden="1"/>
    </xf>
    <xf numFmtId="0" fontId="47" fillId="0" borderId="32" xfId="10" applyFont="1" applyFill="1" applyBorder="1" applyAlignment="1" applyProtection="1">
      <protection hidden="1"/>
    </xf>
    <xf numFmtId="0" fontId="47" fillId="0" borderId="33" xfId="10" applyFont="1" applyFill="1" applyBorder="1" applyProtection="1">
      <protection hidden="1"/>
    </xf>
    <xf numFmtId="0" fontId="47" fillId="0" borderId="32" xfId="10" applyFont="1" applyFill="1" applyBorder="1" applyAlignment="1" applyProtection="1">
      <alignment wrapText="1"/>
      <protection hidden="1"/>
    </xf>
    <xf numFmtId="0" fontId="47" fillId="6" borderId="34" xfId="10" applyFont="1" applyFill="1" applyBorder="1" applyAlignment="1" applyProtection="1">
      <alignment horizontal="center" wrapText="1"/>
      <protection hidden="1"/>
    </xf>
    <xf numFmtId="0" fontId="47" fillId="6" borderId="32" xfId="10" applyFont="1" applyFill="1" applyBorder="1" applyAlignment="1" applyProtection="1">
      <alignment wrapText="1"/>
      <protection hidden="1"/>
    </xf>
    <xf numFmtId="0" fontId="47" fillId="6" borderId="35" xfId="10" applyFont="1" applyFill="1" applyBorder="1" applyAlignment="1" applyProtection="1">
      <alignment horizontal="center" wrapText="1"/>
      <protection hidden="1"/>
    </xf>
    <xf numFmtId="0" fontId="47" fillId="0" borderId="36" xfId="10" applyFont="1" applyFill="1" applyBorder="1" applyProtection="1">
      <protection hidden="1"/>
    </xf>
    <xf numFmtId="0" fontId="47" fillId="6" borderId="0" xfId="10" applyFont="1" applyFill="1" applyBorder="1" applyProtection="1">
      <protection hidden="1"/>
    </xf>
    <xf numFmtId="0" fontId="47" fillId="6" borderId="25" xfId="10" applyFont="1" applyFill="1" applyBorder="1" applyProtection="1">
      <protection hidden="1"/>
    </xf>
    <xf numFmtId="0" fontId="47" fillId="6" borderId="0" xfId="10" applyFont="1" applyFill="1" applyBorder="1" applyAlignment="1" applyProtection="1">
      <alignment wrapText="1"/>
      <protection hidden="1"/>
    </xf>
    <xf numFmtId="0" fontId="47" fillId="6" borderId="18" xfId="10" applyFont="1" applyFill="1" applyBorder="1" applyProtection="1">
      <protection hidden="1"/>
    </xf>
    <xf numFmtId="0" fontId="47" fillId="0" borderId="37" xfId="10" applyFont="1" applyFill="1" applyBorder="1" applyProtection="1">
      <protection hidden="1"/>
    </xf>
    <xf numFmtId="0" fontId="48" fillId="6" borderId="0" xfId="10" applyFont="1" applyFill="1" applyBorder="1" applyAlignment="1" applyProtection="1">
      <alignment wrapText="1"/>
      <protection hidden="1"/>
    </xf>
    <xf numFmtId="0" fontId="48" fillId="6" borderId="0" xfId="10" applyFont="1" applyFill="1" applyBorder="1" applyProtection="1">
      <protection hidden="1"/>
    </xf>
    <xf numFmtId="0" fontId="48" fillId="6" borderId="25" xfId="10" applyFont="1" applyFill="1" applyBorder="1" applyProtection="1">
      <protection hidden="1"/>
    </xf>
    <xf numFmtId="171" fontId="42" fillId="0" borderId="2" xfId="10" applyNumberFormat="1" applyFont="1" applyBorder="1" applyAlignment="1" applyProtection="1">
      <alignment horizontal="right" vertical="center" wrapText="1"/>
      <protection hidden="1"/>
    </xf>
    <xf numFmtId="10" fontId="42" fillId="0" borderId="21" xfId="10" applyNumberFormat="1" applyFont="1" applyBorder="1" applyAlignment="1" applyProtection="1">
      <alignment horizontal="center" vertical="center" wrapText="1"/>
      <protection hidden="1"/>
    </xf>
    <xf numFmtId="10" fontId="42" fillId="0" borderId="38" xfId="10" applyNumberFormat="1" applyFont="1" applyBorder="1" applyAlignment="1" applyProtection="1">
      <alignment horizontal="center" vertical="center" wrapText="1"/>
      <protection hidden="1"/>
    </xf>
    <xf numFmtId="9" fontId="42" fillId="2" borderId="12" xfId="10" applyNumberFormat="1" applyFont="1" applyFill="1" applyBorder="1" applyAlignment="1" applyProtection="1">
      <alignment horizontal="center" vertical="center" wrapText="1"/>
      <protection hidden="1"/>
    </xf>
    <xf numFmtId="9" fontId="42" fillId="2" borderId="13" xfId="10" applyNumberFormat="1" applyFont="1" applyFill="1" applyBorder="1" applyAlignment="1" applyProtection="1">
      <alignment horizontal="center" vertical="center" wrapText="1"/>
      <protection hidden="1"/>
    </xf>
    <xf numFmtId="168" fontId="42" fillId="0" borderId="39" xfId="10" applyNumberFormat="1" applyFont="1" applyFill="1" applyBorder="1" applyAlignment="1" applyProtection="1">
      <alignment horizontal="center" vertical="center" wrapText="1"/>
      <protection hidden="1"/>
    </xf>
    <xf numFmtId="168" fontId="42" fillId="0" borderId="40" xfId="10" applyNumberFormat="1" applyFont="1" applyFill="1" applyBorder="1" applyAlignment="1" applyProtection="1">
      <alignment horizontal="center" vertical="center" wrapText="1"/>
      <protection hidden="1"/>
    </xf>
    <xf numFmtId="168" fontId="42" fillId="0" borderId="21" xfId="10" applyNumberFormat="1" applyFont="1" applyFill="1" applyBorder="1" applyAlignment="1" applyProtection="1">
      <alignment horizontal="center" vertical="center" wrapText="1"/>
      <protection hidden="1"/>
    </xf>
    <xf numFmtId="168" fontId="42" fillId="0" borderId="38" xfId="10" applyNumberFormat="1" applyFont="1" applyFill="1" applyBorder="1" applyAlignment="1" applyProtection="1">
      <alignment horizontal="center" vertical="center" wrapText="1"/>
      <protection hidden="1"/>
    </xf>
    <xf numFmtId="9" fontId="42" fillId="0" borderId="22" xfId="10" applyNumberFormat="1" applyFont="1" applyFill="1" applyBorder="1" applyAlignment="1" applyProtection="1">
      <alignment horizontal="center" vertical="center" wrapText="1"/>
      <protection hidden="1"/>
    </xf>
    <xf numFmtId="9" fontId="42" fillId="0" borderId="41" xfId="10" applyNumberFormat="1" applyFont="1" applyFill="1" applyBorder="1" applyAlignment="1" applyProtection="1">
      <alignment horizontal="center" vertical="center" wrapText="1"/>
      <protection hidden="1"/>
    </xf>
    <xf numFmtId="9" fontId="42" fillId="0" borderId="12" xfId="10" applyNumberFormat="1" applyFont="1" applyFill="1" applyBorder="1" applyAlignment="1" applyProtection="1">
      <alignment horizontal="center" vertical="center" wrapText="1"/>
      <protection hidden="1"/>
    </xf>
    <xf numFmtId="9" fontId="42" fillId="0" borderId="13" xfId="10" applyNumberFormat="1" applyFont="1" applyFill="1" applyBorder="1" applyAlignment="1" applyProtection="1">
      <alignment horizontal="center" vertical="center" wrapText="1"/>
      <protection hidden="1"/>
    </xf>
    <xf numFmtId="0" fontId="48" fillId="4" borderId="0" xfId="10" applyFont="1" applyFill="1" applyBorder="1" applyProtection="1">
      <protection hidden="1"/>
    </xf>
    <xf numFmtId="10" fontId="41" fillId="0" borderId="0" xfId="10" applyNumberFormat="1" applyFont="1" applyFill="1" applyBorder="1" applyAlignment="1" applyProtection="1">
      <alignment vertical="top" wrapText="1"/>
      <protection hidden="1"/>
    </xf>
    <xf numFmtId="0" fontId="42" fillId="0" borderId="0" xfId="10" applyFont="1" applyFill="1" applyBorder="1" applyAlignment="1" applyProtection="1">
      <alignment vertical="top" wrapText="1"/>
      <protection hidden="1"/>
    </xf>
    <xf numFmtId="0" fontId="42" fillId="0" borderId="25" xfId="10" applyFont="1" applyFill="1" applyBorder="1" applyAlignment="1" applyProtection="1">
      <alignment vertical="top" wrapText="1"/>
      <protection hidden="1"/>
    </xf>
    <xf numFmtId="168" fontId="41" fillId="0" borderId="0" xfId="10" applyNumberFormat="1" applyFont="1" applyFill="1" applyBorder="1" applyAlignment="1" applyProtection="1">
      <alignment horizontal="left" vertical="top" wrapText="1"/>
      <protection hidden="1"/>
    </xf>
    <xf numFmtId="6" fontId="41" fillId="0" borderId="0" xfId="10" applyNumberFormat="1" applyFont="1" applyFill="1" applyBorder="1" applyAlignment="1" applyProtection="1">
      <alignment horizontal="left" vertical="top" wrapText="1"/>
      <protection hidden="1"/>
    </xf>
    <xf numFmtId="0" fontId="40" fillId="6" borderId="16" xfId="10" applyFont="1" applyFill="1" applyBorder="1" applyProtection="1">
      <protection hidden="1"/>
    </xf>
    <xf numFmtId="0" fontId="42" fillId="4" borderId="26" xfId="10" applyFont="1" applyFill="1" applyBorder="1" applyAlignment="1" applyProtection="1">
      <alignment horizontal="left" vertical="top" wrapText="1"/>
      <protection hidden="1"/>
    </xf>
    <xf numFmtId="0" fontId="42" fillId="4" borderId="14" xfId="10" applyFont="1" applyFill="1" applyBorder="1" applyAlignment="1" applyProtection="1">
      <alignment horizontal="left" vertical="top" wrapText="1"/>
      <protection hidden="1"/>
    </xf>
    <xf numFmtId="0" fontId="42" fillId="4" borderId="27" xfId="10" applyFont="1" applyFill="1" applyBorder="1" applyAlignment="1" applyProtection="1">
      <alignment horizontal="left" vertical="top" wrapText="1"/>
      <protection hidden="1"/>
    </xf>
    <xf numFmtId="0" fontId="48" fillId="4" borderId="42" xfId="10" applyFont="1" applyFill="1" applyBorder="1" applyProtection="1">
      <protection hidden="1"/>
    </xf>
    <xf numFmtId="0" fontId="44" fillId="4" borderId="0" xfId="10" applyFont="1" applyFill="1" applyBorder="1" applyProtection="1">
      <protection hidden="1"/>
    </xf>
    <xf numFmtId="49" fontId="41" fillId="11" borderId="43" xfId="0" applyNumberFormat="1" applyFont="1" applyFill="1" applyBorder="1" applyAlignment="1" applyProtection="1">
      <alignment horizontal="justify" vertical="top"/>
      <protection hidden="1"/>
    </xf>
    <xf numFmtId="0" fontId="49" fillId="4" borderId="0" xfId="10" applyFont="1" applyFill="1" applyBorder="1" applyProtection="1">
      <protection hidden="1"/>
    </xf>
    <xf numFmtId="0" fontId="50" fillId="4" borderId="0" xfId="10" applyFont="1" applyFill="1" applyBorder="1" applyProtection="1">
      <protection hidden="1"/>
    </xf>
    <xf numFmtId="49" fontId="42" fillId="11" borderId="43" xfId="0" applyNumberFormat="1" applyFont="1" applyFill="1" applyBorder="1" applyAlignment="1" applyProtection="1">
      <alignment horizontal="justify" vertical="top"/>
      <protection hidden="1"/>
    </xf>
    <xf numFmtId="49" fontId="42" fillId="11" borderId="14" xfId="0" applyNumberFormat="1" applyFont="1" applyFill="1" applyBorder="1" applyAlignment="1" applyProtection="1">
      <alignment horizontal="justify" vertical="top"/>
      <protection hidden="1"/>
    </xf>
    <xf numFmtId="0" fontId="44" fillId="4" borderId="0" xfId="10" applyFont="1" applyFill="1" applyBorder="1" applyAlignment="1" applyProtection="1">
      <alignment wrapText="1"/>
      <protection hidden="1"/>
    </xf>
    <xf numFmtId="0" fontId="42" fillId="4" borderId="0" xfId="10" applyFont="1" applyFill="1" applyBorder="1" applyAlignment="1" applyProtection="1">
      <alignment wrapText="1"/>
      <protection hidden="1"/>
    </xf>
    <xf numFmtId="0" fontId="47" fillId="4" borderId="0" xfId="10" applyFont="1" applyFill="1" applyBorder="1" applyAlignment="1" applyProtection="1">
      <alignment wrapText="1"/>
      <protection hidden="1"/>
    </xf>
    <xf numFmtId="0" fontId="42" fillId="4" borderId="43" xfId="10" applyFont="1" applyFill="1" applyBorder="1" applyAlignment="1" applyProtection="1">
      <alignment vertical="top" wrapText="1"/>
      <protection hidden="1"/>
    </xf>
    <xf numFmtId="49" fontId="42" fillId="4" borderId="43" xfId="0" applyNumberFormat="1" applyFont="1" applyFill="1" applyBorder="1" applyAlignment="1" applyProtection="1">
      <alignment vertical="top" wrapText="1"/>
      <protection hidden="1"/>
    </xf>
    <xf numFmtId="0" fontId="42" fillId="4" borderId="43" xfId="0" applyFont="1" applyFill="1" applyBorder="1" applyAlignment="1" applyProtection="1">
      <alignment vertical="top" wrapText="1"/>
      <protection hidden="1"/>
    </xf>
    <xf numFmtId="0" fontId="42" fillId="4" borderId="26" xfId="10" applyFont="1" applyFill="1" applyBorder="1" applyAlignment="1" applyProtection="1">
      <alignment vertical="top" wrapText="1"/>
      <protection hidden="1"/>
    </xf>
    <xf numFmtId="0" fontId="42" fillId="4" borderId="27" xfId="10" applyFont="1" applyFill="1" applyBorder="1" applyAlignment="1" applyProtection="1">
      <alignment vertical="top" wrapText="1"/>
      <protection hidden="1"/>
    </xf>
    <xf numFmtId="0" fontId="42" fillId="4" borderId="43" xfId="10" applyFont="1" applyFill="1" applyBorder="1" applyAlignment="1" applyProtection="1">
      <alignment horizontal="left" vertical="top" wrapText="1"/>
      <protection hidden="1"/>
    </xf>
    <xf numFmtId="0" fontId="46" fillId="6" borderId="43" xfId="10" applyFont="1" applyFill="1" applyBorder="1" applyAlignment="1" applyProtection="1">
      <alignment horizontal="left" wrapText="1"/>
      <protection hidden="1"/>
    </xf>
    <xf numFmtId="0" fontId="48" fillId="0" borderId="43" xfId="10" applyFont="1" applyFill="1" applyBorder="1" applyProtection="1">
      <protection locked="0" hidden="1"/>
    </xf>
    <xf numFmtId="0" fontId="47" fillId="0" borderId="43" xfId="10" applyFont="1" applyFill="1" applyBorder="1" applyProtection="1">
      <protection locked="0" hidden="1"/>
    </xf>
    <xf numFmtId="0" fontId="47" fillId="0" borderId="43" xfId="10" applyFont="1" applyFill="1" applyBorder="1" applyAlignment="1" applyProtection="1">
      <alignment wrapText="1"/>
      <protection locked="0" hidden="1"/>
    </xf>
    <xf numFmtId="0" fontId="47" fillId="6" borderId="43" xfId="10" applyFont="1" applyFill="1" applyBorder="1" applyProtection="1">
      <protection locked="0" hidden="1"/>
    </xf>
    <xf numFmtId="0" fontId="47" fillId="6" borderId="43" xfId="10" applyFont="1" applyFill="1" applyBorder="1" applyProtection="1">
      <protection hidden="1"/>
    </xf>
    <xf numFmtId="0" fontId="48" fillId="6" borderId="43" xfId="10" applyFont="1" applyFill="1" applyBorder="1" applyProtection="1">
      <protection hidden="1"/>
    </xf>
    <xf numFmtId="0" fontId="42" fillId="0" borderId="43" xfId="10" applyFont="1" applyBorder="1" applyAlignment="1" applyProtection="1">
      <alignment horizontal="left" vertical="center" wrapText="1"/>
      <protection hidden="1"/>
    </xf>
    <xf numFmtId="0" fontId="42" fillId="2" borderId="43" xfId="10" applyFont="1" applyFill="1" applyBorder="1" applyAlignment="1" applyProtection="1">
      <alignment horizontal="left" wrapText="1"/>
      <protection hidden="1"/>
    </xf>
    <xf numFmtId="0" fontId="42" fillId="2" borderId="43" xfId="10" applyFont="1" applyFill="1" applyBorder="1" applyAlignment="1" applyProtection="1">
      <alignment wrapText="1"/>
      <protection hidden="1"/>
    </xf>
    <xf numFmtId="0" fontId="46" fillId="6" borderId="43" xfId="10" applyFont="1" applyFill="1" applyBorder="1" applyAlignment="1" applyProtection="1">
      <alignment horizontal="left" wrapText="1"/>
      <protection locked="0" hidden="1"/>
    </xf>
    <xf numFmtId="0" fontId="47" fillId="0" borderId="44" xfId="10" applyFont="1" applyFill="1" applyBorder="1" applyAlignment="1" applyProtection="1">
      <alignment wrapText="1"/>
      <protection hidden="1"/>
    </xf>
    <xf numFmtId="0" fontId="47" fillId="0" borderId="44" xfId="10" applyFont="1" applyFill="1" applyBorder="1" applyProtection="1">
      <protection hidden="1"/>
    </xf>
    <xf numFmtId="0" fontId="47" fillId="6" borderId="44" xfId="10" applyFont="1" applyFill="1" applyBorder="1" applyProtection="1">
      <protection hidden="1"/>
    </xf>
    <xf numFmtId="0" fontId="48" fillId="4" borderId="44" xfId="10" applyFont="1" applyFill="1" applyBorder="1" applyProtection="1">
      <protection hidden="1"/>
    </xf>
    <xf numFmtId="0" fontId="48" fillId="4" borderId="0" xfId="10" applyFont="1" applyFill="1" applyBorder="1" applyAlignment="1" applyProtection="1">
      <alignment wrapText="1"/>
      <protection hidden="1"/>
    </xf>
    <xf numFmtId="168" fontId="42" fillId="0" borderId="0" xfId="10" applyNumberFormat="1" applyFont="1" applyFill="1" applyBorder="1" applyAlignment="1" applyProtection="1">
      <alignment horizontal="right" vertical="top" wrapText="1"/>
      <protection hidden="1"/>
    </xf>
    <xf numFmtId="0" fontId="45" fillId="0" borderId="1" xfId="10" applyFont="1" applyFill="1" applyBorder="1" applyAlignment="1" applyProtection="1">
      <alignment horizontal="center" vertical="top" wrapText="1"/>
      <protection hidden="1"/>
    </xf>
    <xf numFmtId="0" fontId="43" fillId="9" borderId="6" xfId="10" applyFont="1" applyFill="1" applyBorder="1" applyProtection="1">
      <protection hidden="1"/>
    </xf>
    <xf numFmtId="168" fontId="43" fillId="9" borderId="1" xfId="10" applyNumberFormat="1" applyFont="1" applyFill="1" applyBorder="1" applyAlignment="1" applyProtection="1">
      <alignment horizontal="right"/>
      <protection hidden="1"/>
    </xf>
    <xf numFmtId="173" fontId="45" fillId="0" borderId="1" xfId="10" applyNumberFormat="1" applyFont="1" applyFill="1" applyBorder="1" applyProtection="1">
      <protection hidden="1"/>
    </xf>
    <xf numFmtId="0" fontId="51" fillId="4" borderId="0" xfId="10" applyFont="1" applyFill="1" applyBorder="1" applyProtection="1">
      <protection hidden="1"/>
    </xf>
    <xf numFmtId="168" fontId="21" fillId="7" borderId="1" xfId="1" applyNumberFormat="1" applyFont="1" applyFill="1" applyBorder="1" applyAlignment="1" applyProtection="1">
      <alignment vertical="center"/>
      <protection locked="0" hidden="1"/>
    </xf>
    <xf numFmtId="0" fontId="57" fillId="14" borderId="1" xfId="0" applyFont="1" applyFill="1" applyBorder="1" applyAlignment="1" applyProtection="1">
      <alignment vertical="center"/>
      <protection hidden="1"/>
    </xf>
    <xf numFmtId="0" fontId="52" fillId="9" borderId="1" xfId="0" applyFont="1" applyFill="1" applyBorder="1" applyProtection="1">
      <protection locked="0"/>
    </xf>
    <xf numFmtId="0" fontId="16" fillId="4" borderId="0" xfId="0" applyFont="1" applyFill="1" applyBorder="1" applyAlignment="1" applyProtection="1">
      <alignment horizontal="left" vertical="center"/>
      <protection hidden="1"/>
    </xf>
    <xf numFmtId="168" fontId="16" fillId="0" borderId="1" xfId="0" applyNumberFormat="1" applyFont="1" applyFill="1" applyBorder="1" applyAlignment="1" applyProtection="1">
      <alignment vertical="center"/>
      <protection hidden="1"/>
    </xf>
    <xf numFmtId="172" fontId="58" fillId="0" borderId="1" xfId="0" applyNumberFormat="1" applyFont="1" applyFill="1" applyBorder="1" applyAlignment="1" applyProtection="1">
      <alignment vertical="center"/>
      <protection hidden="1"/>
    </xf>
    <xf numFmtId="0" fontId="58" fillId="0" borderId="1" xfId="0" applyFont="1" applyFill="1" applyBorder="1" applyAlignment="1" applyProtection="1">
      <alignment vertical="center"/>
      <protection hidden="1"/>
    </xf>
    <xf numFmtId="0" fontId="58" fillId="0" borderId="1" xfId="0" applyFont="1" applyFill="1" applyBorder="1" applyAlignment="1" applyProtection="1">
      <alignment horizontal="center" vertical="center" wrapText="1"/>
      <protection locked="0"/>
    </xf>
    <xf numFmtId="6" fontId="14" fillId="0" borderId="1" xfId="0" applyNumberFormat="1" applyFont="1" applyFill="1" applyBorder="1" applyProtection="1">
      <protection hidden="1"/>
    </xf>
    <xf numFmtId="172" fontId="58" fillId="0" borderId="1" xfId="0" applyNumberFormat="1" applyFont="1" applyFill="1" applyBorder="1" applyAlignment="1" applyProtection="1">
      <alignment vertical="center" wrapText="1"/>
      <protection locked="0"/>
    </xf>
    <xf numFmtId="0" fontId="16" fillId="4" borderId="0" xfId="0" applyFont="1" applyFill="1" applyBorder="1" applyAlignment="1" applyProtection="1">
      <alignment horizontal="left" vertical="center"/>
      <protection hidden="1"/>
    </xf>
    <xf numFmtId="0" fontId="12" fillId="0" borderId="3" xfId="0" applyFont="1" applyFill="1" applyBorder="1" applyAlignment="1" applyProtection="1">
      <alignment horizontal="left"/>
      <protection hidden="1"/>
    </xf>
    <xf numFmtId="0" fontId="12" fillId="0" borderId="6" xfId="0" applyFont="1" applyFill="1" applyBorder="1" applyAlignment="1" applyProtection="1">
      <alignment horizontal="left"/>
      <protection hidden="1"/>
    </xf>
    <xf numFmtId="9" fontId="12" fillId="0" borderId="1" xfId="16" applyNumberFormat="1" applyFont="1" applyFill="1" applyBorder="1" applyProtection="1">
      <protection locked="0" hidden="1"/>
    </xf>
    <xf numFmtId="0" fontId="14" fillId="4" borderId="0" xfId="0" applyFont="1" applyFill="1" applyBorder="1" applyProtection="1">
      <protection hidden="1"/>
    </xf>
    <xf numFmtId="10" fontId="14" fillId="4" borderId="0" xfId="16" applyNumberFormat="1" applyFont="1" applyFill="1" applyBorder="1" applyProtection="1">
      <protection hidden="1"/>
    </xf>
    <xf numFmtId="1" fontId="21" fillId="7" borderId="3" xfId="0" applyNumberFormat="1" applyFont="1" applyFill="1" applyBorder="1" applyAlignment="1" applyProtection="1">
      <alignment vertical="center"/>
      <protection locked="0" hidden="1"/>
    </xf>
    <xf numFmtId="168" fontId="21" fillId="7" borderId="3" xfId="1" applyNumberFormat="1" applyFont="1" applyFill="1" applyBorder="1" applyAlignment="1" applyProtection="1">
      <alignment vertical="center"/>
      <protection locked="0" hidden="1"/>
    </xf>
    <xf numFmtId="172" fontId="58" fillId="0" borderId="3" xfId="0" applyNumberFormat="1" applyFont="1" applyFill="1" applyBorder="1" applyAlignment="1" applyProtection="1">
      <alignment vertical="center"/>
      <protection hidden="1"/>
    </xf>
    <xf numFmtId="0" fontId="19" fillId="4" borderId="0" xfId="0" applyFont="1" applyFill="1" applyBorder="1" applyProtection="1">
      <protection hidden="1"/>
    </xf>
    <xf numFmtId="0" fontId="17" fillId="4" borderId="0" xfId="0" applyFont="1" applyFill="1" applyBorder="1" applyProtection="1">
      <protection hidden="1"/>
    </xf>
    <xf numFmtId="0" fontId="14" fillId="4" borderId="23" xfId="0" applyFont="1" applyFill="1" applyBorder="1" applyProtection="1">
      <protection hidden="1"/>
    </xf>
    <xf numFmtId="0" fontId="12" fillId="0" borderId="6" xfId="0" applyFont="1" applyFill="1" applyBorder="1" applyAlignment="1" applyProtection="1">
      <protection hidden="1"/>
    </xf>
    <xf numFmtId="0" fontId="16" fillId="4" borderId="0" xfId="0" applyFont="1" applyFill="1" applyBorder="1" applyAlignment="1" applyProtection="1">
      <alignment horizontal="left" vertical="center"/>
      <protection hidden="1"/>
    </xf>
    <xf numFmtId="0" fontId="16" fillId="4" borderId="0" xfId="0" applyFont="1" applyFill="1" applyBorder="1" applyAlignment="1" applyProtection="1">
      <alignment horizontal="left" vertical="center"/>
      <protection hidden="1"/>
    </xf>
    <xf numFmtId="0" fontId="12" fillId="0" borderId="3" xfId="0" applyFont="1" applyFill="1" applyBorder="1" applyAlignment="1" applyProtection="1">
      <alignment horizontal="left"/>
      <protection hidden="1"/>
    </xf>
    <xf numFmtId="0" fontId="12" fillId="0" borderId="6" xfId="0" applyFont="1" applyFill="1" applyBorder="1" applyAlignment="1" applyProtection="1">
      <alignment horizontal="left"/>
      <protection hidden="1"/>
    </xf>
    <xf numFmtId="0" fontId="31" fillId="8" borderId="0" xfId="0" applyFont="1" applyFill="1" applyBorder="1" applyAlignment="1" applyProtection="1">
      <alignment horizontal="center" vertical="center" wrapText="1"/>
      <protection hidden="1"/>
    </xf>
    <xf numFmtId="0" fontId="59" fillId="0" borderId="1" xfId="0" quotePrefix="1" applyFont="1" applyFill="1" applyBorder="1" applyAlignment="1" applyProtection="1">
      <alignment horizontal="center" wrapText="1"/>
      <protection hidden="1"/>
    </xf>
    <xf numFmtId="0" fontId="17" fillId="0" borderId="15" xfId="0" applyFont="1" applyFill="1" applyBorder="1" applyProtection="1">
      <protection hidden="1"/>
    </xf>
    <xf numFmtId="6" fontId="17" fillId="0" borderId="15" xfId="0" applyNumberFormat="1" applyFont="1" applyFill="1" applyBorder="1" applyProtection="1">
      <protection hidden="1"/>
    </xf>
    <xf numFmtId="6" fontId="59" fillId="0" borderId="1" xfId="0" applyNumberFormat="1" applyFont="1" applyFill="1" applyBorder="1" applyProtection="1">
      <protection hidden="1"/>
    </xf>
    <xf numFmtId="167" fontId="60" fillId="6" borderId="15" xfId="0" applyNumberFormat="1" applyFont="1" applyFill="1" applyBorder="1" applyProtection="1">
      <protection hidden="1"/>
    </xf>
    <xf numFmtId="0" fontId="1" fillId="0" borderId="0" xfId="10" applyFont="1" applyAlignment="1">
      <alignment wrapText="1"/>
    </xf>
    <xf numFmtId="0" fontId="5" fillId="13" borderId="0" xfId="10" applyFill="1"/>
    <xf numFmtId="49" fontId="41" fillId="11" borderId="0" xfId="0" applyNumberFormat="1" applyFont="1" applyFill="1" applyBorder="1" applyAlignment="1" applyProtection="1">
      <alignment horizontal="left" vertical="top"/>
      <protection hidden="1"/>
    </xf>
    <xf numFmtId="0" fontId="42" fillId="11" borderId="0" xfId="0" applyFont="1" applyFill="1" applyBorder="1" applyAlignment="1" applyProtection="1">
      <alignment vertical="top"/>
      <protection hidden="1"/>
    </xf>
    <xf numFmtId="0" fontId="1" fillId="0" borderId="0" xfId="0" applyFont="1"/>
    <xf numFmtId="177" fontId="0" fillId="0" borderId="0" xfId="1" applyNumberFormat="1" applyFont="1"/>
    <xf numFmtId="10" fontId="0" fillId="0" borderId="0" xfId="0" applyNumberFormat="1"/>
    <xf numFmtId="2" fontId="5" fillId="13" borderId="0" xfId="10" applyNumberFormat="1" applyFill="1"/>
    <xf numFmtId="0" fontId="57" fillId="14" borderId="0" xfId="0" applyFont="1" applyFill="1" applyBorder="1" applyAlignment="1" applyProtection="1">
      <alignment vertical="center"/>
      <protection hidden="1"/>
    </xf>
    <xf numFmtId="169" fontId="0" fillId="0" borderId="0" xfId="16" applyNumberFormat="1" applyFont="1"/>
    <xf numFmtId="10" fontId="0" fillId="9" borderId="0" xfId="16" applyNumberFormat="1" applyFont="1" applyFill="1"/>
    <xf numFmtId="169" fontId="0" fillId="0" borderId="0" xfId="0" applyNumberFormat="1"/>
    <xf numFmtId="0" fontId="0" fillId="10" borderId="0" xfId="0" applyFill="1"/>
    <xf numFmtId="169" fontId="0" fillId="10" borderId="0" xfId="0" applyNumberFormat="1" applyFill="1"/>
    <xf numFmtId="0" fontId="0" fillId="0" borderId="0" xfId="0" applyFill="1"/>
    <xf numFmtId="0" fontId="1" fillId="0" borderId="0" xfId="0" applyFont="1" applyFill="1" applyBorder="1" applyAlignment="1" applyProtection="1">
      <alignment vertical="center"/>
      <protection hidden="1"/>
    </xf>
    <xf numFmtId="0" fontId="64" fillId="0" borderId="0" xfId="0" applyFont="1" applyAlignment="1">
      <alignment horizontal="center"/>
    </xf>
    <xf numFmtId="14" fontId="41" fillId="11" borderId="2" xfId="0" applyNumberFormat="1" applyFont="1" applyFill="1" applyBorder="1" applyAlignment="1" applyProtection="1">
      <alignment horizontal="left" vertical="top"/>
      <protection hidden="1"/>
    </xf>
    <xf numFmtId="14" fontId="41" fillId="11" borderId="23" xfId="0" applyNumberFormat="1" applyFont="1" applyFill="1" applyBorder="1" applyAlignment="1" applyProtection="1">
      <alignment horizontal="left" vertical="top"/>
      <protection hidden="1"/>
    </xf>
    <xf numFmtId="14" fontId="5" fillId="0" borderId="0" xfId="10" applyNumberFormat="1"/>
    <xf numFmtId="14" fontId="5" fillId="13" borderId="0" xfId="10" applyNumberFormat="1" applyFill="1" applyAlignment="1">
      <alignment wrapText="1"/>
    </xf>
    <xf numFmtId="0" fontId="4" fillId="0" borderId="0" xfId="9" applyAlignment="1" applyProtection="1">
      <alignment vertical="center"/>
    </xf>
    <xf numFmtId="0" fontId="16" fillId="4" borderId="0" xfId="0" applyFont="1" applyFill="1" applyBorder="1" applyAlignment="1" applyProtection="1">
      <alignment horizontal="left" vertical="center"/>
      <protection hidden="1"/>
    </xf>
    <xf numFmtId="0" fontId="16" fillId="0" borderId="1" xfId="0" applyFont="1" applyFill="1" applyBorder="1" applyAlignment="1" applyProtection="1">
      <alignment vertical="center"/>
      <protection hidden="1"/>
    </xf>
    <xf numFmtId="0" fontId="28" fillId="0" borderId="1" xfId="0" applyFont="1" applyFill="1" applyBorder="1" applyAlignment="1" applyProtection="1">
      <alignment horizontal="right" vertical="center"/>
      <protection hidden="1"/>
    </xf>
    <xf numFmtId="0" fontId="12" fillId="0" borderId="3" xfId="0" applyFont="1" applyFill="1" applyBorder="1" applyAlignment="1" applyProtection="1">
      <alignment horizontal="left"/>
      <protection hidden="1"/>
    </xf>
    <xf numFmtId="0" fontId="12" fillId="0" borderId="6" xfId="0" applyFont="1" applyFill="1" applyBorder="1" applyAlignment="1" applyProtection="1">
      <alignment horizontal="left"/>
      <protection hidden="1"/>
    </xf>
    <xf numFmtId="0" fontId="31" fillId="8" borderId="65" xfId="0" applyFont="1" applyFill="1" applyBorder="1" applyAlignment="1" applyProtection="1">
      <alignment horizontal="center" vertical="center" wrapText="1"/>
      <protection hidden="1"/>
    </xf>
    <xf numFmtId="0" fontId="31" fillId="8" borderId="66"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right" vertical="center"/>
      <protection hidden="1"/>
    </xf>
    <xf numFmtId="0" fontId="12" fillId="0" borderId="9"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5" xfId="0" applyFont="1" applyFill="1" applyBorder="1" applyAlignment="1" applyProtection="1">
      <alignment horizontal="center" vertical="center" wrapText="1"/>
      <protection hidden="1"/>
    </xf>
    <xf numFmtId="0" fontId="16" fillId="0" borderId="1" xfId="0" applyFont="1" applyFill="1" applyBorder="1" applyAlignment="1" applyProtection="1">
      <alignment vertical="center" wrapText="1"/>
      <protection hidden="1"/>
    </xf>
    <xf numFmtId="0" fontId="21" fillId="6" borderId="10" xfId="0" applyFont="1" applyFill="1" applyBorder="1" applyAlignment="1" applyProtection="1">
      <alignment horizontal="center" vertical="center" wrapText="1"/>
      <protection locked="0"/>
    </xf>
    <xf numFmtId="0" fontId="21" fillId="6" borderId="13" xfId="0" applyFont="1" applyFill="1" applyBorder="1" applyAlignment="1" applyProtection="1">
      <alignment horizontal="center" vertical="center" wrapText="1"/>
      <protection locked="0"/>
    </xf>
    <xf numFmtId="0" fontId="21" fillId="6" borderId="43" xfId="0" applyFont="1" applyFill="1" applyBorder="1" applyAlignment="1" applyProtection="1">
      <alignment horizontal="center" vertical="center" wrapText="1"/>
      <protection locked="0"/>
    </xf>
    <xf numFmtId="0" fontId="21" fillId="6" borderId="79" xfId="0" applyFont="1" applyFill="1" applyBorder="1" applyAlignment="1" applyProtection="1">
      <alignment horizontal="center" vertical="center" wrapText="1"/>
      <protection locked="0"/>
    </xf>
    <xf numFmtId="0" fontId="21" fillId="6" borderId="46" xfId="0" applyFont="1" applyFill="1" applyBorder="1" applyAlignment="1" applyProtection="1">
      <alignment horizontal="center" vertical="center" wrapText="1"/>
      <protection locked="0"/>
    </xf>
    <xf numFmtId="0" fontId="21" fillId="6" borderId="40" xfId="0" applyFont="1" applyFill="1" applyBorder="1" applyAlignment="1" applyProtection="1">
      <alignment horizontal="center" vertical="center" wrapText="1"/>
      <protection locked="0"/>
    </xf>
    <xf numFmtId="0" fontId="16" fillId="6" borderId="0" xfId="0" applyFont="1" applyFill="1" applyBorder="1" applyAlignment="1" applyProtection="1">
      <alignment horizontal="right" vertical="center"/>
      <protection locked="0"/>
    </xf>
    <xf numFmtId="0" fontId="42" fillId="4" borderId="26" xfId="0" applyFont="1" applyFill="1" applyBorder="1" applyAlignment="1" applyProtection="1">
      <alignment horizontal="left" vertical="top" wrapText="1"/>
      <protection hidden="1"/>
    </xf>
    <xf numFmtId="0" fontId="42" fillId="4" borderId="27" xfId="0" applyFont="1" applyFill="1" applyBorder="1" applyAlignment="1" applyProtection="1">
      <alignment horizontal="left" vertical="top" wrapText="1"/>
      <protection hidden="1"/>
    </xf>
    <xf numFmtId="0" fontId="42" fillId="0" borderId="3" xfId="10" applyFont="1" applyFill="1" applyBorder="1" applyAlignment="1" applyProtection="1">
      <alignment horizontal="left" vertical="top" wrapText="1"/>
      <protection hidden="1"/>
    </xf>
    <xf numFmtId="0" fontId="42" fillId="0" borderId="2" xfId="10" applyFont="1" applyFill="1" applyBorder="1" applyAlignment="1" applyProtection="1">
      <alignment horizontal="left" vertical="top" wrapText="1"/>
      <protection hidden="1"/>
    </xf>
    <xf numFmtId="0" fontId="42" fillId="0" borderId="52" xfId="10" applyFont="1" applyFill="1" applyBorder="1" applyAlignment="1" applyProtection="1">
      <alignment horizontal="left" vertical="top" wrapText="1"/>
      <protection hidden="1"/>
    </xf>
    <xf numFmtId="49" fontId="42" fillId="11" borderId="26" xfId="0" applyNumberFormat="1" applyFont="1" applyFill="1" applyBorder="1" applyAlignment="1" applyProtection="1">
      <alignment horizontal="left" vertical="center"/>
      <protection hidden="1"/>
    </xf>
    <xf numFmtId="49" fontId="42" fillId="11" borderId="14" xfId="0" applyNumberFormat="1" applyFont="1" applyFill="1" applyBorder="1" applyAlignment="1" applyProtection="1">
      <alignment horizontal="left" vertical="center"/>
      <protection hidden="1"/>
    </xf>
    <xf numFmtId="49" fontId="42" fillId="11" borderId="27" xfId="0" applyNumberFormat="1" applyFont="1" applyFill="1" applyBorder="1" applyAlignment="1" applyProtection="1">
      <alignment horizontal="left" vertical="center"/>
      <protection hidden="1"/>
    </xf>
    <xf numFmtId="176" fontId="41" fillId="11" borderId="23" xfId="0" applyNumberFormat="1" applyFont="1" applyFill="1" applyBorder="1" applyAlignment="1" applyProtection="1">
      <alignment horizontal="left" vertical="top"/>
      <protection hidden="1"/>
    </xf>
    <xf numFmtId="176" fontId="41" fillId="11" borderId="5" xfId="0" applyNumberFormat="1" applyFont="1" applyFill="1" applyBorder="1" applyAlignment="1" applyProtection="1">
      <alignment horizontal="left" vertical="top"/>
      <protection hidden="1"/>
    </xf>
    <xf numFmtId="0" fontId="41" fillId="0" borderId="50" xfId="0" applyFont="1" applyFill="1" applyBorder="1" applyAlignment="1" applyProtection="1">
      <alignment horizontal="left" vertical="center" wrapText="1"/>
      <protection hidden="1"/>
    </xf>
    <xf numFmtId="0" fontId="41" fillId="0" borderId="9" xfId="0" applyFont="1" applyFill="1" applyBorder="1" applyAlignment="1" applyProtection="1">
      <alignment horizontal="left" vertical="center" wrapText="1"/>
      <protection hidden="1"/>
    </xf>
    <xf numFmtId="0" fontId="41" fillId="0" borderId="29" xfId="0" applyFont="1" applyFill="1" applyBorder="1" applyAlignment="1" applyProtection="1">
      <alignment horizontal="left" vertical="center" wrapText="1"/>
      <protection hidden="1"/>
    </xf>
    <xf numFmtId="0" fontId="42" fillId="0" borderId="8" xfId="0" applyFont="1" applyFill="1" applyBorder="1" applyAlignment="1" applyProtection="1">
      <alignment horizontal="left" vertical="center" wrapText="1"/>
      <protection hidden="1"/>
    </xf>
    <xf numFmtId="0" fontId="42" fillId="0" borderId="23" xfId="0" applyFont="1" applyFill="1" applyBorder="1" applyAlignment="1" applyProtection="1">
      <alignment horizontal="left" vertical="center" wrapText="1"/>
      <protection hidden="1"/>
    </xf>
    <xf numFmtId="0" fontId="42" fillId="0" borderId="28" xfId="0" applyFont="1" applyFill="1" applyBorder="1" applyAlignment="1" applyProtection="1">
      <alignment horizontal="left" vertical="center" wrapText="1"/>
      <protection hidden="1"/>
    </xf>
    <xf numFmtId="0" fontId="41" fillId="0" borderId="7" xfId="0" applyFont="1" applyFill="1" applyBorder="1" applyAlignment="1" applyProtection="1">
      <alignment horizontal="left" vertical="center" wrapText="1"/>
      <protection hidden="1"/>
    </xf>
    <xf numFmtId="0" fontId="41" fillId="0" borderId="0" xfId="0" applyFont="1" applyFill="1" applyBorder="1" applyAlignment="1" applyProtection="1">
      <alignment horizontal="left" vertical="center" wrapText="1"/>
      <protection hidden="1"/>
    </xf>
    <xf numFmtId="0" fontId="41" fillId="0" borderId="25" xfId="0" applyFont="1" applyFill="1" applyBorder="1" applyAlignment="1" applyProtection="1">
      <alignment horizontal="left" vertical="center" wrapText="1"/>
      <protection hidden="1"/>
    </xf>
    <xf numFmtId="49" fontId="41" fillId="11" borderId="43" xfId="0" applyNumberFormat="1" applyFont="1" applyFill="1" applyBorder="1" applyAlignment="1" applyProtection="1">
      <alignment horizontal="left" vertical="top"/>
      <protection hidden="1"/>
    </xf>
    <xf numFmtId="0" fontId="42" fillId="0" borderId="7" xfId="0" applyFont="1" applyFill="1" applyBorder="1" applyAlignment="1" applyProtection="1">
      <alignment horizontal="left" vertical="center" wrapText="1"/>
      <protection hidden="1"/>
    </xf>
    <xf numFmtId="0" fontId="42" fillId="0" borderId="3" xfId="0" applyFont="1" applyFill="1" applyBorder="1" applyAlignment="1" applyProtection="1">
      <alignment horizontal="left" vertical="center" wrapText="1"/>
      <protection hidden="1"/>
    </xf>
    <xf numFmtId="0" fontId="42" fillId="0" borderId="2" xfId="0" applyFont="1" applyFill="1" applyBorder="1" applyAlignment="1" applyProtection="1">
      <alignment horizontal="left" vertical="center" wrapText="1"/>
      <protection hidden="1"/>
    </xf>
    <xf numFmtId="0" fontId="42" fillId="0" borderId="52" xfId="0" applyFont="1" applyFill="1" applyBorder="1" applyAlignment="1" applyProtection="1">
      <alignment horizontal="left" vertical="center" wrapText="1"/>
      <protection hidden="1"/>
    </xf>
    <xf numFmtId="0" fontId="42" fillId="0" borderId="8" xfId="10" applyFont="1" applyFill="1" applyBorder="1" applyAlignment="1" applyProtection="1">
      <alignment horizontal="left" vertical="top" wrapText="1"/>
      <protection locked="0" hidden="1"/>
    </xf>
    <xf numFmtId="0" fontId="42" fillId="0" borderId="23" xfId="10" applyFont="1" applyFill="1" applyBorder="1" applyAlignment="1" applyProtection="1">
      <alignment horizontal="left" vertical="top" wrapText="1"/>
      <protection locked="0" hidden="1"/>
    </xf>
    <xf numFmtId="176" fontId="41" fillId="11" borderId="8" xfId="0" applyNumberFormat="1" applyFont="1" applyFill="1" applyBorder="1" applyAlignment="1" applyProtection="1">
      <alignment horizontal="left" vertical="top"/>
      <protection hidden="1"/>
    </xf>
    <xf numFmtId="0" fontId="41" fillId="11" borderId="50" xfId="0" applyFont="1" applyFill="1" applyBorder="1" applyAlignment="1" applyProtection="1">
      <alignment vertical="top"/>
      <protection hidden="1"/>
    </xf>
    <xf numFmtId="0" fontId="41" fillId="11" borderId="9" xfId="0" applyFont="1" applyFill="1" applyBorder="1" applyAlignment="1" applyProtection="1">
      <alignment vertical="top"/>
      <protection hidden="1"/>
    </xf>
    <xf numFmtId="0" fontId="41" fillId="11" borderId="4" xfId="0" applyFont="1" applyFill="1" applyBorder="1" applyAlignment="1" applyProtection="1">
      <alignment vertical="top"/>
      <protection hidden="1"/>
    </xf>
    <xf numFmtId="0" fontId="42" fillId="0" borderId="7" xfId="10" applyFont="1" applyFill="1" applyBorder="1" applyAlignment="1" applyProtection="1">
      <alignment horizontal="left" vertical="top" wrapText="1"/>
      <protection hidden="1"/>
    </xf>
    <xf numFmtId="0" fontId="42" fillId="0" borderId="0" xfId="10" applyFont="1" applyFill="1" applyBorder="1" applyAlignment="1" applyProtection="1">
      <alignment horizontal="left" vertical="top" wrapText="1"/>
      <protection hidden="1"/>
    </xf>
    <xf numFmtId="0" fontId="42" fillId="0" borderId="25" xfId="10" applyFont="1" applyFill="1" applyBorder="1" applyAlignment="1" applyProtection="1">
      <alignment horizontal="left" vertical="top" wrapText="1"/>
      <protection hidden="1"/>
    </xf>
    <xf numFmtId="0" fontId="46" fillId="0" borderId="48" xfId="0" applyFont="1" applyFill="1" applyBorder="1" applyAlignment="1" applyProtection="1">
      <alignment horizontal="left" wrapText="1"/>
      <protection hidden="1"/>
    </xf>
    <xf numFmtId="0" fontId="46" fillId="0" borderId="11" xfId="0" applyFont="1" applyFill="1" applyBorder="1" applyAlignment="1" applyProtection="1">
      <alignment horizontal="left" wrapText="1"/>
      <protection hidden="1"/>
    </xf>
    <xf numFmtId="0" fontId="46" fillId="0" borderId="49" xfId="0" applyFont="1" applyFill="1" applyBorder="1" applyAlignment="1" applyProtection="1">
      <alignment horizontal="left" wrapText="1"/>
      <protection hidden="1"/>
    </xf>
    <xf numFmtId="0" fontId="41" fillId="11" borderId="48" xfId="0" applyFont="1" applyFill="1" applyBorder="1" applyAlignment="1" applyProtection="1">
      <alignment horizontal="left" vertical="center" wrapText="1"/>
      <protection hidden="1"/>
    </xf>
    <xf numFmtId="0" fontId="41" fillId="11" borderId="49" xfId="0" applyFont="1" applyFill="1" applyBorder="1" applyAlignment="1" applyProtection="1">
      <alignment horizontal="left" vertical="center" wrapText="1"/>
      <protection hidden="1"/>
    </xf>
    <xf numFmtId="49" fontId="41" fillId="11" borderId="14" xfId="0" applyNumberFormat="1" applyFont="1" applyFill="1" applyBorder="1" applyAlignment="1" applyProtection="1">
      <alignment horizontal="center" vertical="top"/>
      <protection hidden="1"/>
    </xf>
    <xf numFmtId="49" fontId="41" fillId="11" borderId="27" xfId="0" applyNumberFormat="1" applyFont="1" applyFill="1" applyBorder="1" applyAlignment="1" applyProtection="1">
      <alignment horizontal="center" vertical="top"/>
      <protection hidden="1"/>
    </xf>
    <xf numFmtId="0" fontId="53" fillId="11" borderId="60" xfId="0" applyFont="1" applyFill="1" applyBorder="1" applyAlignment="1" applyProtection="1">
      <alignment horizontal="center" wrapText="1"/>
      <protection hidden="1"/>
    </xf>
    <xf numFmtId="0" fontId="53" fillId="11" borderId="61" xfId="0" applyFont="1" applyFill="1" applyBorder="1" applyAlignment="1" applyProtection="1">
      <alignment horizontal="center"/>
      <protection hidden="1"/>
    </xf>
    <xf numFmtId="0" fontId="53" fillId="11" borderId="62" xfId="0" applyFont="1" applyFill="1" applyBorder="1" applyAlignment="1" applyProtection="1">
      <alignment horizontal="center"/>
      <protection hidden="1"/>
    </xf>
    <xf numFmtId="0" fontId="9" fillId="0" borderId="0" xfId="0" applyFont="1" applyFill="1" applyBorder="1" applyAlignment="1" applyProtection="1">
      <alignment horizontal="left" vertical="center" wrapText="1"/>
      <protection hidden="1"/>
    </xf>
    <xf numFmtId="0" fontId="55" fillId="0" borderId="0" xfId="0" applyFont="1" applyFill="1" applyBorder="1" applyAlignment="1" applyProtection="1">
      <alignment horizontal="left" vertical="center" wrapText="1"/>
      <protection hidden="1"/>
    </xf>
    <xf numFmtId="168" fontId="42" fillId="0" borderId="50" xfId="10" applyNumberFormat="1" applyFont="1" applyFill="1" applyBorder="1" applyAlignment="1" applyProtection="1">
      <alignment horizontal="left" vertical="top" wrapText="1"/>
      <protection hidden="1"/>
    </xf>
    <xf numFmtId="168" fontId="42" fillId="0" borderId="9" xfId="10" applyNumberFormat="1" applyFont="1" applyFill="1" applyBorder="1" applyAlignment="1" applyProtection="1">
      <alignment horizontal="left" vertical="top" wrapText="1"/>
      <protection hidden="1"/>
    </xf>
    <xf numFmtId="168" fontId="42" fillId="0" borderId="7" xfId="10" applyNumberFormat="1" applyFont="1" applyFill="1" applyBorder="1" applyAlignment="1" applyProtection="1">
      <alignment horizontal="left" vertical="top" wrapText="1"/>
      <protection hidden="1"/>
    </xf>
    <xf numFmtId="168" fontId="42" fillId="0" borderId="0" xfId="10" applyNumberFormat="1" applyFont="1" applyFill="1" applyBorder="1" applyAlignment="1" applyProtection="1">
      <alignment horizontal="left" vertical="top" wrapText="1"/>
      <protection hidden="1"/>
    </xf>
    <xf numFmtId="0" fontId="42" fillId="0" borderId="0" xfId="0" applyFont="1" applyFill="1" applyBorder="1" applyAlignment="1" applyProtection="1">
      <alignment horizontal="left" vertical="center" wrapText="1"/>
      <protection hidden="1"/>
    </xf>
    <xf numFmtId="0" fontId="42" fillId="0" borderId="25" xfId="0" applyFont="1" applyFill="1" applyBorder="1" applyAlignment="1" applyProtection="1">
      <alignment horizontal="left" vertical="center" wrapText="1"/>
      <protection hidden="1"/>
    </xf>
    <xf numFmtId="168" fontId="42" fillId="0" borderId="8" xfId="10" applyNumberFormat="1" applyFont="1" applyFill="1" applyBorder="1" applyAlignment="1" applyProtection="1">
      <alignment horizontal="left" vertical="top" wrapText="1"/>
      <protection hidden="1"/>
    </xf>
    <xf numFmtId="168" fontId="42" fillId="0" borderId="23" xfId="10" applyNumberFormat="1" applyFont="1" applyFill="1" applyBorder="1" applyAlignment="1" applyProtection="1">
      <alignment horizontal="left" vertical="top" wrapText="1"/>
      <protection hidden="1"/>
    </xf>
    <xf numFmtId="49" fontId="42" fillId="9" borderId="9" xfId="10" applyNumberFormat="1" applyFont="1" applyFill="1" applyBorder="1" applyAlignment="1" applyProtection="1">
      <alignment horizontal="center" vertical="top" wrapText="1"/>
      <protection locked="0" hidden="1"/>
    </xf>
    <xf numFmtId="49" fontId="42" fillId="9" borderId="0" xfId="10" applyNumberFormat="1" applyFont="1" applyFill="1" applyBorder="1" applyAlignment="1" applyProtection="1">
      <alignment horizontal="center" vertical="top" wrapText="1"/>
      <protection locked="0" hidden="1"/>
    </xf>
    <xf numFmtId="0" fontId="53" fillId="12" borderId="48" xfId="0" applyFont="1" applyFill="1" applyBorder="1" applyAlignment="1" applyProtection="1">
      <alignment horizontal="center" vertical="center"/>
      <protection locked="0" hidden="1"/>
    </xf>
    <xf numFmtId="0" fontId="53" fillId="12" borderId="11" xfId="0" applyFont="1" applyFill="1" applyBorder="1" applyAlignment="1" applyProtection="1">
      <alignment horizontal="center" vertical="center"/>
      <protection locked="0" hidden="1"/>
    </xf>
    <xf numFmtId="0" fontId="53" fillId="12" borderId="49" xfId="0" applyFont="1" applyFill="1" applyBorder="1" applyAlignment="1" applyProtection="1">
      <alignment horizontal="center" vertical="center"/>
      <protection locked="0" hidden="1"/>
    </xf>
    <xf numFmtId="49" fontId="42" fillId="9" borderId="23" xfId="10" applyNumberFormat="1" applyFont="1" applyFill="1" applyBorder="1" applyAlignment="1" applyProtection="1">
      <alignment horizontal="center" vertical="top" wrapText="1"/>
      <protection locked="0" hidden="1"/>
    </xf>
    <xf numFmtId="0" fontId="42" fillId="0" borderId="8" xfId="10" applyFont="1" applyFill="1" applyBorder="1" applyAlignment="1" applyProtection="1">
      <alignment vertical="top" wrapText="1"/>
      <protection hidden="1"/>
    </xf>
    <xf numFmtId="0" fontId="42" fillId="0" borderId="23" xfId="10" applyFont="1" applyFill="1" applyBorder="1" applyAlignment="1" applyProtection="1">
      <alignment vertical="top" wrapText="1"/>
      <protection hidden="1"/>
    </xf>
    <xf numFmtId="0" fontId="42" fillId="0" borderId="28" xfId="10" applyFont="1" applyFill="1" applyBorder="1" applyAlignment="1" applyProtection="1">
      <alignment vertical="top" wrapText="1"/>
      <protection hidden="1"/>
    </xf>
    <xf numFmtId="0" fontId="42" fillId="0" borderId="50" xfId="10" applyFont="1" applyFill="1" applyBorder="1" applyAlignment="1" applyProtection="1">
      <alignment horizontal="left" vertical="top" wrapText="1"/>
      <protection hidden="1"/>
    </xf>
    <xf numFmtId="0" fontId="42" fillId="0" borderId="9" xfId="10" applyFont="1" applyFill="1" applyBorder="1" applyAlignment="1" applyProtection="1">
      <alignment horizontal="left" vertical="top" wrapText="1"/>
      <protection hidden="1"/>
    </xf>
    <xf numFmtId="0" fontId="42" fillId="0" borderId="29" xfId="10" applyFont="1" applyFill="1" applyBorder="1" applyAlignment="1" applyProtection="1">
      <alignment horizontal="left" vertical="top" wrapText="1"/>
      <protection hidden="1"/>
    </xf>
    <xf numFmtId="0" fontId="41" fillId="0" borderId="7" xfId="10" applyFont="1" applyFill="1" applyBorder="1" applyAlignment="1" applyProtection="1">
      <alignment horizontal="left" vertical="top" wrapText="1"/>
      <protection hidden="1"/>
    </xf>
    <xf numFmtId="0" fontId="41" fillId="0" borderId="0" xfId="10" applyFont="1" applyFill="1" applyBorder="1" applyAlignment="1" applyProtection="1">
      <alignment horizontal="left" vertical="top" wrapText="1"/>
      <protection hidden="1"/>
    </xf>
    <xf numFmtId="0" fontId="41" fillId="0" borderId="25" xfId="10" applyFont="1" applyFill="1" applyBorder="1" applyAlignment="1" applyProtection="1">
      <alignment horizontal="left" vertical="top" wrapText="1"/>
      <protection hidden="1"/>
    </xf>
    <xf numFmtId="9" fontId="42" fillId="0" borderId="3" xfId="18" applyFont="1" applyFill="1" applyBorder="1" applyAlignment="1" applyProtection="1">
      <alignment horizontal="left" vertical="top" wrapText="1"/>
      <protection hidden="1"/>
    </xf>
    <xf numFmtId="9" fontId="42" fillId="0" borderId="2" xfId="18" applyFont="1" applyFill="1" applyBorder="1" applyAlignment="1" applyProtection="1">
      <alignment horizontal="left" vertical="top" wrapText="1"/>
      <protection hidden="1"/>
    </xf>
    <xf numFmtId="9" fontId="42" fillId="0" borderId="52" xfId="18" applyFont="1" applyFill="1" applyBorder="1" applyAlignment="1" applyProtection="1">
      <alignment horizontal="left" vertical="top" wrapText="1"/>
      <protection hidden="1"/>
    </xf>
    <xf numFmtId="0" fontId="42" fillId="4" borderId="43" xfId="10" applyFont="1" applyFill="1" applyBorder="1" applyAlignment="1" applyProtection="1">
      <alignment horizontal="left" vertical="top" wrapText="1"/>
      <protection hidden="1"/>
    </xf>
    <xf numFmtId="0" fontId="41" fillId="0" borderId="50" xfId="10" applyFont="1" applyFill="1" applyBorder="1" applyAlignment="1" applyProtection="1">
      <alignment horizontal="left" vertical="top" wrapText="1"/>
      <protection hidden="1"/>
    </xf>
    <xf numFmtId="0" fontId="41" fillId="0" borderId="9" xfId="10" applyFont="1" applyFill="1" applyBorder="1" applyAlignment="1" applyProtection="1">
      <alignment horizontal="left" vertical="top" wrapText="1"/>
      <protection hidden="1"/>
    </xf>
    <xf numFmtId="0" fontId="41" fillId="0" borderId="29" xfId="10" applyFont="1" applyFill="1" applyBorder="1" applyAlignment="1" applyProtection="1">
      <alignment horizontal="left" vertical="top" wrapText="1"/>
      <protection hidden="1"/>
    </xf>
    <xf numFmtId="0" fontId="45" fillId="0" borderId="3" xfId="10" applyFont="1" applyFill="1" applyBorder="1" applyAlignment="1" applyProtection="1">
      <alignment horizontal="center"/>
      <protection hidden="1"/>
    </xf>
    <xf numFmtId="0" fontId="45" fillId="0" borderId="6" xfId="10" applyFont="1" applyFill="1" applyBorder="1" applyAlignment="1" applyProtection="1">
      <alignment horizontal="center"/>
      <protection hidden="1"/>
    </xf>
    <xf numFmtId="0" fontId="46" fillId="0" borderId="10" xfId="10" applyFont="1" applyFill="1" applyBorder="1" applyAlignment="1" applyProtection="1">
      <alignment horizontal="left" wrapText="1"/>
      <protection hidden="1"/>
    </xf>
    <xf numFmtId="0" fontId="46" fillId="0" borderId="12" xfId="10" applyFont="1" applyFill="1" applyBorder="1" applyAlignment="1" applyProtection="1">
      <alignment horizontal="left" wrapText="1"/>
      <protection hidden="1"/>
    </xf>
    <xf numFmtId="0" fontId="46" fillId="0" borderId="13" xfId="10" applyFont="1" applyFill="1" applyBorder="1" applyAlignment="1" applyProtection="1">
      <alignment horizontal="left" wrapText="1"/>
      <protection hidden="1"/>
    </xf>
    <xf numFmtId="0" fontId="42" fillId="0" borderId="3" xfId="10" applyFont="1" applyFill="1" applyBorder="1" applyAlignment="1" applyProtection="1">
      <alignment horizontal="left" vertical="center" wrapText="1"/>
      <protection hidden="1"/>
    </xf>
    <xf numFmtId="0" fontId="42" fillId="0" borderId="2" xfId="10" applyFont="1" applyFill="1" applyBorder="1" applyAlignment="1" applyProtection="1">
      <alignment horizontal="left" vertical="center" wrapText="1"/>
      <protection hidden="1"/>
    </xf>
    <xf numFmtId="0" fontId="42" fillId="0" borderId="52" xfId="10" applyFont="1" applyFill="1" applyBorder="1" applyAlignment="1" applyProtection="1">
      <alignment horizontal="left" vertical="center" wrapText="1"/>
      <protection hidden="1"/>
    </xf>
    <xf numFmtId="0" fontId="42" fillId="0" borderId="47" xfId="10" applyFont="1" applyFill="1" applyBorder="1" applyAlignment="1" applyProtection="1">
      <alignment horizontal="left" vertical="top" wrapText="1"/>
      <protection hidden="1"/>
    </xf>
    <xf numFmtId="0" fontId="42" fillId="0" borderId="61" xfId="10" applyFont="1" applyFill="1" applyBorder="1" applyAlignment="1" applyProtection="1">
      <alignment horizontal="left" vertical="top" wrapText="1"/>
      <protection hidden="1"/>
    </xf>
    <xf numFmtId="0" fontId="42" fillId="0" borderId="62" xfId="10" applyFont="1" applyFill="1" applyBorder="1" applyAlignment="1" applyProtection="1">
      <alignment horizontal="left" vertical="top" wrapText="1"/>
      <protection hidden="1"/>
    </xf>
    <xf numFmtId="0" fontId="42" fillId="0" borderId="8" xfId="10" applyFont="1" applyFill="1" applyBorder="1" applyAlignment="1" applyProtection="1">
      <alignment horizontal="left" vertical="top" wrapText="1"/>
      <protection hidden="1"/>
    </xf>
    <xf numFmtId="0" fontId="42" fillId="0" borderId="23" xfId="10" applyFont="1" applyFill="1" applyBorder="1" applyAlignment="1" applyProtection="1">
      <alignment horizontal="left" vertical="top" wrapText="1"/>
      <protection hidden="1"/>
    </xf>
    <xf numFmtId="0" fontId="42" fillId="0" borderId="28" xfId="10" applyFont="1" applyFill="1" applyBorder="1" applyAlignment="1" applyProtection="1">
      <alignment horizontal="left" vertical="top" wrapText="1"/>
      <protection hidden="1"/>
    </xf>
    <xf numFmtId="0" fontId="42" fillId="9" borderId="50" xfId="10" applyFont="1" applyFill="1" applyBorder="1" applyAlignment="1" applyProtection="1">
      <alignment horizontal="left" vertical="top" wrapText="1"/>
      <protection hidden="1"/>
    </xf>
    <xf numFmtId="0" fontId="42" fillId="9" borderId="9" xfId="10" applyFont="1" applyFill="1" applyBorder="1" applyAlignment="1" applyProtection="1">
      <alignment horizontal="left" vertical="top" wrapText="1"/>
      <protection hidden="1"/>
    </xf>
    <xf numFmtId="0" fontId="42" fillId="9" borderId="29" xfId="10" applyFont="1" applyFill="1" applyBorder="1" applyAlignment="1" applyProtection="1">
      <alignment horizontal="left" vertical="top" wrapText="1"/>
      <protection hidden="1"/>
    </xf>
    <xf numFmtId="0" fontId="42" fillId="0" borderId="50" xfId="10" applyFont="1" applyFill="1" applyBorder="1" applyAlignment="1" applyProtection="1">
      <alignment horizontal="left" wrapText="1"/>
      <protection hidden="1"/>
    </xf>
    <xf numFmtId="0" fontId="42" fillId="0" borderId="9" xfId="10" applyFont="1" applyFill="1" applyBorder="1" applyAlignment="1" applyProtection="1">
      <alignment horizontal="left" wrapText="1"/>
      <protection hidden="1"/>
    </xf>
    <xf numFmtId="0" fontId="42" fillId="0" borderId="25" xfId="10" applyFont="1" applyFill="1" applyBorder="1" applyAlignment="1" applyProtection="1">
      <alignment horizontal="left" wrapText="1"/>
      <protection hidden="1"/>
    </xf>
    <xf numFmtId="0" fontId="54" fillId="0" borderId="50" xfId="10" applyFont="1" applyFill="1" applyBorder="1" applyAlignment="1" applyProtection="1">
      <alignment horizontal="center" vertical="top" wrapText="1"/>
      <protection hidden="1"/>
    </xf>
    <xf numFmtId="0" fontId="54" fillId="0" borderId="9" xfId="10" applyFont="1" applyFill="1" applyBorder="1" applyAlignment="1" applyProtection="1">
      <alignment horizontal="center" vertical="top" wrapText="1"/>
      <protection hidden="1"/>
    </xf>
    <xf numFmtId="0" fontId="54" fillId="0" borderId="25" xfId="10" applyFont="1" applyFill="1" applyBorder="1" applyAlignment="1" applyProtection="1">
      <alignment horizontal="center" vertical="top" wrapText="1"/>
      <protection hidden="1"/>
    </xf>
    <xf numFmtId="0" fontId="42" fillId="0" borderId="56" xfId="10" applyFont="1" applyFill="1" applyBorder="1" applyAlignment="1" applyProtection="1">
      <alignment horizontal="left" vertical="top" wrapText="1"/>
      <protection hidden="1"/>
    </xf>
    <xf numFmtId="0" fontId="42" fillId="0" borderId="18" xfId="10" applyFont="1" applyFill="1" applyBorder="1" applyAlignment="1" applyProtection="1">
      <alignment horizontal="left" vertical="top" wrapText="1"/>
      <protection hidden="1"/>
    </xf>
    <xf numFmtId="0" fontId="42" fillId="0" borderId="37" xfId="10" applyFont="1" applyFill="1" applyBorder="1" applyAlignment="1" applyProtection="1">
      <alignment horizontal="left" vertical="top" wrapText="1"/>
      <protection hidden="1"/>
    </xf>
    <xf numFmtId="0" fontId="47" fillId="0" borderId="35" xfId="10" applyFont="1" applyFill="1" applyBorder="1" applyAlignment="1" applyProtection="1">
      <alignment horizontal="center" wrapText="1"/>
      <protection locked="0" hidden="1"/>
    </xf>
    <xf numFmtId="0" fontId="47" fillId="0" borderId="34" xfId="10" applyFont="1" applyFill="1" applyBorder="1" applyAlignment="1" applyProtection="1">
      <alignment horizontal="center" wrapText="1"/>
      <protection locked="0" hidden="1"/>
    </xf>
    <xf numFmtId="0" fontId="47" fillId="0" borderId="32" xfId="10" applyFont="1" applyFill="1" applyBorder="1" applyAlignment="1" applyProtection="1">
      <alignment horizontal="center" wrapText="1"/>
      <protection locked="0" hidden="1"/>
    </xf>
    <xf numFmtId="0" fontId="47" fillId="0" borderId="30" xfId="10" applyFont="1" applyFill="1" applyBorder="1" applyAlignment="1" applyProtection="1">
      <alignment horizontal="center" wrapText="1"/>
      <protection locked="0" hidden="1"/>
    </xf>
    <xf numFmtId="0" fontId="47" fillId="0" borderId="53" xfId="10" applyFont="1" applyFill="1" applyBorder="1" applyAlignment="1" applyProtection="1">
      <alignment horizontal="center" wrapText="1"/>
      <protection locked="0" hidden="1"/>
    </xf>
    <xf numFmtId="0" fontId="47" fillId="0" borderId="30" xfId="10" applyFont="1" applyFill="1" applyBorder="1" applyAlignment="1" applyProtection="1">
      <alignment horizontal="center" wrapText="1"/>
      <protection hidden="1"/>
    </xf>
    <xf numFmtId="0" fontId="47" fillId="0" borderId="53" xfId="10" applyFont="1" applyFill="1" applyBorder="1" applyAlignment="1" applyProtection="1">
      <alignment horizontal="center" wrapText="1"/>
      <protection hidden="1"/>
    </xf>
    <xf numFmtId="0" fontId="47" fillId="0" borderId="32" xfId="10" applyFont="1" applyFill="1" applyBorder="1" applyAlignment="1" applyProtection="1">
      <alignment horizontal="center" wrapText="1"/>
      <protection hidden="1"/>
    </xf>
    <xf numFmtId="0" fontId="47" fillId="0" borderId="35" xfId="10" applyFont="1" applyFill="1" applyBorder="1" applyAlignment="1" applyProtection="1">
      <alignment horizontal="center" wrapText="1"/>
      <protection hidden="1"/>
    </xf>
    <xf numFmtId="0" fontId="47" fillId="0" borderId="34" xfId="10" applyFont="1" applyFill="1" applyBorder="1" applyAlignment="1" applyProtection="1">
      <alignment horizontal="center" wrapText="1"/>
      <protection hidden="1"/>
    </xf>
    <xf numFmtId="0" fontId="42" fillId="0" borderId="54" xfId="10" applyFont="1" applyBorder="1" applyAlignment="1" applyProtection="1">
      <alignment horizontal="center" vertical="center" wrapText="1"/>
      <protection hidden="1"/>
    </xf>
    <xf numFmtId="0" fontId="42" fillId="0" borderId="42" xfId="10" applyFont="1" applyBorder="1" applyAlignment="1" applyProtection="1">
      <alignment horizontal="center" vertical="center" wrapText="1"/>
      <protection hidden="1"/>
    </xf>
    <xf numFmtId="0" fontId="42" fillId="0" borderId="56" xfId="10" applyFont="1" applyBorder="1" applyAlignment="1" applyProtection="1">
      <alignment horizontal="center" vertical="center" wrapText="1"/>
      <protection hidden="1"/>
    </xf>
    <xf numFmtId="0" fontId="42" fillId="0" borderId="18" xfId="10" applyFont="1" applyBorder="1" applyAlignment="1" applyProtection="1">
      <alignment horizontal="center" vertical="center" wrapText="1"/>
      <protection hidden="1"/>
    </xf>
    <xf numFmtId="3" fontId="42" fillId="2" borderId="45" xfId="10" applyNumberFormat="1" applyFont="1" applyFill="1" applyBorder="1" applyAlignment="1" applyProtection="1">
      <alignment horizontal="center" vertical="center" wrapText="1"/>
      <protection hidden="1"/>
    </xf>
    <xf numFmtId="3" fontId="42" fillId="2" borderId="47" xfId="10" applyNumberFormat="1" applyFont="1" applyFill="1" applyBorder="1" applyAlignment="1" applyProtection="1">
      <alignment horizontal="center" vertical="center" wrapText="1"/>
      <protection hidden="1"/>
    </xf>
    <xf numFmtId="14" fontId="47" fillId="6" borderId="18" xfId="10" applyNumberFormat="1" applyFont="1" applyFill="1" applyBorder="1" applyAlignment="1" applyProtection="1">
      <alignment horizontal="right" wrapText="1"/>
      <protection hidden="1"/>
    </xf>
    <xf numFmtId="0" fontId="42" fillId="0" borderId="44" xfId="10" applyFont="1" applyBorder="1" applyAlignment="1" applyProtection="1">
      <alignment horizontal="center" vertical="center" wrapText="1"/>
      <protection hidden="1"/>
    </xf>
    <xf numFmtId="0" fontId="42" fillId="0" borderId="0" xfId="10" applyFont="1" applyBorder="1" applyAlignment="1" applyProtection="1">
      <alignment horizontal="center" vertical="center" wrapText="1"/>
      <protection hidden="1"/>
    </xf>
    <xf numFmtId="3" fontId="42" fillId="2" borderId="8" xfId="10" applyNumberFormat="1" applyFont="1" applyFill="1" applyBorder="1" applyAlignment="1" applyProtection="1">
      <alignment horizontal="center" vertical="center" wrapText="1"/>
      <protection hidden="1"/>
    </xf>
    <xf numFmtId="3" fontId="42" fillId="2" borderId="50" xfId="10" applyNumberFormat="1" applyFont="1" applyFill="1" applyBorder="1" applyAlignment="1" applyProtection="1">
      <alignment horizontal="center" vertical="center" wrapText="1"/>
      <protection hidden="1"/>
    </xf>
    <xf numFmtId="0" fontId="53" fillId="4" borderId="57" xfId="10" applyFont="1" applyFill="1" applyBorder="1" applyAlignment="1" applyProtection="1">
      <alignment horizontal="center" wrapText="1"/>
      <protection hidden="1"/>
    </xf>
    <xf numFmtId="0" fontId="53" fillId="4" borderId="58" xfId="10" applyFont="1" applyFill="1" applyBorder="1" applyAlignment="1" applyProtection="1">
      <alignment horizontal="center"/>
      <protection hidden="1"/>
    </xf>
    <xf numFmtId="0" fontId="53" fillId="4" borderId="59" xfId="10" applyFont="1" applyFill="1" applyBorder="1" applyAlignment="1" applyProtection="1">
      <alignment horizontal="center"/>
      <protection hidden="1"/>
    </xf>
    <xf numFmtId="0" fontId="42" fillId="4" borderId="43" xfId="0" applyFont="1" applyFill="1" applyBorder="1" applyAlignment="1" applyProtection="1">
      <alignment horizontal="left" vertical="top" wrapText="1"/>
      <protection hidden="1"/>
    </xf>
    <xf numFmtId="0" fontId="42" fillId="2" borderId="54" xfId="10" applyFont="1" applyFill="1" applyBorder="1" applyAlignment="1" applyProtection="1">
      <alignment horizontal="center" wrapText="1"/>
      <protection hidden="1"/>
    </xf>
    <xf numFmtId="0" fontId="42" fillId="2" borderId="42" xfId="10" applyFont="1" applyFill="1" applyBorder="1" applyAlignment="1" applyProtection="1">
      <alignment horizontal="center" wrapText="1"/>
      <protection hidden="1"/>
    </xf>
    <xf numFmtId="0" fontId="42" fillId="2" borderId="55" xfId="10" applyFont="1" applyFill="1" applyBorder="1" applyAlignment="1" applyProtection="1">
      <alignment horizontal="center" wrapText="1"/>
      <protection hidden="1"/>
    </xf>
    <xf numFmtId="0" fontId="42" fillId="0" borderId="51" xfId="10" applyFont="1" applyBorder="1" applyAlignment="1" applyProtection="1">
      <alignment horizontal="center" vertical="center" wrapText="1"/>
      <protection hidden="1"/>
    </xf>
    <xf numFmtId="0" fontId="42" fillId="0" borderId="2" xfId="10" applyFont="1" applyBorder="1" applyAlignment="1" applyProtection="1">
      <alignment horizontal="center" vertical="center" wrapText="1"/>
      <protection hidden="1"/>
    </xf>
    <xf numFmtId="0" fontId="42" fillId="0" borderId="6" xfId="10" applyFont="1" applyBorder="1" applyAlignment="1" applyProtection="1">
      <alignment horizontal="center" vertical="center" wrapText="1"/>
      <protection hidden="1"/>
    </xf>
    <xf numFmtId="0" fontId="42" fillId="0" borderId="25" xfId="10" applyFont="1" applyBorder="1" applyAlignment="1" applyProtection="1">
      <alignment horizontal="center" vertical="center" wrapText="1"/>
      <protection hidden="1"/>
    </xf>
    <xf numFmtId="0" fontId="42" fillId="0" borderId="23" xfId="10" applyFont="1" applyBorder="1" applyAlignment="1" applyProtection="1">
      <alignment horizontal="left" vertical="center" wrapText="1"/>
      <protection hidden="1"/>
    </xf>
    <xf numFmtId="0" fontId="42" fillId="0" borderId="5" xfId="10" applyFont="1" applyBorder="1" applyAlignment="1" applyProtection="1">
      <alignment horizontal="left" vertical="center" wrapText="1"/>
      <protection hidden="1"/>
    </xf>
    <xf numFmtId="0" fontId="42" fillId="0" borderId="7" xfId="10" applyFont="1" applyBorder="1" applyAlignment="1" applyProtection="1">
      <alignment horizontal="center" vertical="center" wrapText="1"/>
      <protection hidden="1"/>
    </xf>
    <xf numFmtId="0" fontId="42" fillId="0" borderId="8" xfId="10" applyFont="1" applyBorder="1" applyAlignment="1" applyProtection="1">
      <alignment horizontal="center" vertical="center" wrapText="1"/>
      <protection hidden="1"/>
    </xf>
    <xf numFmtId="5" fontId="42" fillId="0" borderId="24" xfId="7" applyNumberFormat="1" applyFont="1" applyBorder="1" applyAlignment="1" applyProtection="1">
      <alignment horizontal="center" vertical="center" wrapText="1"/>
      <protection hidden="1"/>
    </xf>
    <xf numFmtId="5" fontId="42" fillId="0" borderId="5" xfId="7" applyNumberFormat="1" applyFont="1" applyBorder="1" applyAlignment="1" applyProtection="1">
      <alignment horizontal="center" vertical="center" wrapText="1"/>
      <protection hidden="1"/>
    </xf>
    <xf numFmtId="0" fontId="42" fillId="0" borderId="23" xfId="10" applyFont="1" applyBorder="1" applyAlignment="1" applyProtection="1">
      <alignment horizontal="center" vertical="center" wrapText="1"/>
      <protection hidden="1"/>
    </xf>
    <xf numFmtId="175" fontId="42" fillId="0" borderId="25" xfId="10" applyNumberFormat="1" applyFont="1" applyBorder="1" applyAlignment="1" applyProtection="1">
      <alignment horizontal="center" vertical="center" wrapText="1"/>
      <protection hidden="1"/>
    </xf>
    <xf numFmtId="175" fontId="42" fillId="0" borderId="28" xfId="10" applyNumberFormat="1" applyFont="1" applyBorder="1" applyAlignment="1" applyProtection="1">
      <alignment horizontal="center" vertical="center" wrapText="1"/>
      <protection hidden="1"/>
    </xf>
    <xf numFmtId="0" fontId="42" fillId="0" borderId="2" xfId="10" applyFont="1" applyBorder="1" applyAlignment="1" applyProtection="1">
      <alignment horizontal="left" vertical="center" wrapText="1"/>
      <protection hidden="1"/>
    </xf>
    <xf numFmtId="0" fontId="42" fillId="0" borderId="6" xfId="10" applyFont="1" applyBorder="1" applyAlignment="1" applyProtection="1">
      <alignment horizontal="left" vertical="center" wrapText="1"/>
      <protection hidden="1"/>
    </xf>
    <xf numFmtId="0" fontId="47" fillId="0" borderId="44" xfId="10" applyFont="1" applyFill="1" applyBorder="1" applyAlignment="1" applyProtection="1">
      <alignment horizontal="center"/>
      <protection locked="0" hidden="1"/>
    </xf>
    <xf numFmtId="0" fontId="47" fillId="0" borderId="0" xfId="10" applyFont="1" applyFill="1" applyBorder="1" applyAlignment="1" applyProtection="1">
      <alignment horizontal="center"/>
      <protection locked="0" hidden="1"/>
    </xf>
    <xf numFmtId="0" fontId="47" fillId="6" borderId="44" xfId="10" applyFont="1" applyFill="1" applyBorder="1" applyAlignment="1" applyProtection="1">
      <alignment horizontal="center" wrapText="1"/>
      <protection hidden="1"/>
    </xf>
    <xf numFmtId="0" fontId="47" fillId="6" borderId="0" xfId="10" applyFont="1" applyFill="1" applyBorder="1" applyAlignment="1" applyProtection="1">
      <alignment horizontal="center" wrapText="1"/>
      <protection hidden="1"/>
    </xf>
    <xf numFmtId="0" fontId="42" fillId="0" borderId="7" xfId="0" quotePrefix="1" applyFont="1" applyFill="1" applyBorder="1" applyAlignment="1" applyProtection="1">
      <alignment horizontal="left" vertical="center" wrapText="1"/>
      <protection hidden="1"/>
    </xf>
    <xf numFmtId="0" fontId="42" fillId="4" borderId="26" xfId="10" applyFont="1" applyFill="1" applyBorder="1" applyAlignment="1" applyProtection="1">
      <alignment vertical="top" wrapText="1"/>
      <protection hidden="1"/>
    </xf>
    <xf numFmtId="0" fontId="0" fillId="0" borderId="17" xfId="0" applyBorder="1" applyAlignment="1">
      <alignment vertical="top" wrapText="1"/>
    </xf>
    <xf numFmtId="0" fontId="42" fillId="2" borderId="44" xfId="10" applyFont="1" applyFill="1" applyBorder="1" applyAlignment="1" applyProtection="1">
      <alignment horizontal="left" wrapText="1"/>
      <protection hidden="1"/>
    </xf>
    <xf numFmtId="0" fontId="42" fillId="2" borderId="0" xfId="10" applyFont="1" applyFill="1" applyBorder="1" applyAlignment="1" applyProtection="1">
      <alignment horizontal="left" wrapText="1"/>
      <protection hidden="1"/>
    </xf>
    <xf numFmtId="0" fontId="42" fillId="2" borderId="25" xfId="10" applyFont="1" applyFill="1" applyBorder="1" applyAlignment="1" applyProtection="1">
      <alignment horizontal="left" wrapText="1"/>
      <protection hidden="1"/>
    </xf>
    <xf numFmtId="0" fontId="41" fillId="2" borderId="44" xfId="10" applyFont="1" applyFill="1" applyBorder="1" applyAlignment="1" applyProtection="1">
      <alignment horizontal="left" wrapText="1"/>
      <protection hidden="1"/>
    </xf>
    <xf numFmtId="0" fontId="41" fillId="2" borderId="0" xfId="10" applyFont="1" applyFill="1" applyBorder="1" applyAlignment="1" applyProtection="1">
      <alignment horizontal="left" wrapText="1"/>
      <protection hidden="1"/>
    </xf>
    <xf numFmtId="0" fontId="41" fillId="2" borderId="25" xfId="10" applyFont="1" applyFill="1" applyBorder="1" applyAlignment="1" applyProtection="1">
      <alignment horizontal="left" wrapText="1"/>
      <protection hidden="1"/>
    </xf>
    <xf numFmtId="0" fontId="42" fillId="2" borderId="44" xfId="10" applyFont="1" applyFill="1" applyBorder="1" applyAlignment="1" applyProtection="1">
      <alignment horizontal="center"/>
      <protection hidden="1"/>
    </xf>
    <xf numFmtId="0" fontId="42" fillId="2" borderId="0" xfId="10" applyFont="1" applyFill="1" applyBorder="1" applyAlignment="1" applyProtection="1">
      <alignment horizontal="center"/>
      <protection hidden="1"/>
    </xf>
    <xf numFmtId="0" fontId="42" fillId="2" borderId="25" xfId="10" applyFont="1" applyFill="1" applyBorder="1" applyAlignment="1" applyProtection="1">
      <alignment horizontal="center"/>
      <protection hidden="1"/>
    </xf>
    <xf numFmtId="0" fontId="42" fillId="0" borderId="24" xfId="10" applyFont="1" applyFill="1" applyBorder="1" applyAlignment="1" applyProtection="1">
      <alignment horizontal="left" vertical="top" wrapText="1"/>
      <protection hidden="1"/>
    </xf>
    <xf numFmtId="0" fontId="42" fillId="0" borderId="8" xfId="10" applyFont="1" applyFill="1" applyBorder="1" applyAlignment="1" applyProtection="1">
      <alignment horizontal="left" vertical="center" wrapText="1"/>
      <protection hidden="1"/>
    </xf>
    <xf numFmtId="0" fontId="42" fillId="0" borderId="23" xfId="10" applyFont="1" applyFill="1" applyBorder="1" applyAlignment="1" applyProtection="1">
      <alignment horizontal="left" vertical="center" wrapText="1"/>
      <protection hidden="1"/>
    </xf>
    <xf numFmtId="0" fontId="42" fillId="0" borderId="28" xfId="10" applyFont="1" applyFill="1" applyBorder="1" applyAlignment="1" applyProtection="1">
      <alignment horizontal="left" vertical="center" wrapText="1"/>
      <protection hidden="1"/>
    </xf>
    <xf numFmtId="0" fontId="42" fillId="0" borderId="7" xfId="10" applyFont="1" applyFill="1" applyBorder="1" applyAlignment="1" applyProtection="1">
      <alignment horizontal="left" vertical="top" wrapText="1"/>
      <protection locked="0" hidden="1"/>
    </xf>
    <xf numFmtId="0" fontId="42" fillId="0" borderId="0" xfId="10" applyFont="1" applyFill="1" applyBorder="1" applyAlignment="1" applyProtection="1">
      <alignment horizontal="left" vertical="top" wrapText="1"/>
      <protection locked="0" hidden="1"/>
    </xf>
    <xf numFmtId="168" fontId="41" fillId="0" borderId="23" xfId="10" applyNumberFormat="1" applyFont="1" applyFill="1" applyBorder="1" applyAlignment="1" applyProtection="1">
      <alignment horizontal="left" vertical="top" wrapText="1"/>
      <protection hidden="1"/>
    </xf>
    <xf numFmtId="0" fontId="42" fillId="4" borderId="26" xfId="10" applyFont="1" applyFill="1" applyBorder="1" applyAlignment="1" applyProtection="1">
      <alignment horizontal="left" vertical="top" wrapText="1"/>
      <protection hidden="1"/>
    </xf>
    <xf numFmtId="0" fontId="42" fillId="4" borderId="14" xfId="10" applyFont="1" applyFill="1" applyBorder="1" applyAlignment="1" applyProtection="1">
      <alignment horizontal="left" vertical="top" wrapText="1"/>
      <protection hidden="1"/>
    </xf>
    <xf numFmtId="0" fontId="42" fillId="4" borderId="27" xfId="10" applyFont="1" applyFill="1" applyBorder="1" applyAlignment="1" applyProtection="1">
      <alignment horizontal="left" vertical="top" wrapText="1"/>
      <protection hidden="1"/>
    </xf>
    <xf numFmtId="0" fontId="42" fillId="0" borderId="50" xfId="10" applyFont="1" applyFill="1" applyBorder="1" applyAlignment="1" applyProtection="1">
      <alignment horizontal="left" vertical="top" wrapText="1"/>
      <protection locked="0" hidden="1"/>
    </xf>
    <xf numFmtId="0" fontId="42" fillId="0" borderId="9" xfId="10" applyFont="1" applyFill="1" applyBorder="1" applyAlignment="1" applyProtection="1">
      <alignment horizontal="left" vertical="top" wrapText="1"/>
      <protection locked="0" hidden="1"/>
    </xf>
    <xf numFmtId="49" fontId="41" fillId="11" borderId="26" xfId="0" applyNumberFormat="1" applyFont="1" applyFill="1" applyBorder="1" applyAlignment="1" applyProtection="1">
      <alignment horizontal="left" vertical="top"/>
      <protection hidden="1"/>
    </xf>
    <xf numFmtId="49" fontId="41" fillId="11" borderId="27" xfId="0" applyNumberFormat="1" applyFont="1" applyFill="1" applyBorder="1" applyAlignment="1" applyProtection="1">
      <alignment horizontal="left" vertical="top"/>
      <protection hidden="1"/>
    </xf>
    <xf numFmtId="0" fontId="42" fillId="0" borderId="7" xfId="0" applyFont="1" applyFill="1" applyBorder="1" applyAlignment="1" applyProtection="1">
      <alignment horizontal="left" vertical="top" wrapText="1"/>
      <protection hidden="1"/>
    </xf>
    <xf numFmtId="0" fontId="42" fillId="0" borderId="0" xfId="0" applyFont="1" applyFill="1" applyBorder="1" applyAlignment="1" applyProtection="1">
      <alignment horizontal="left" vertical="top" wrapText="1"/>
      <protection hidden="1"/>
    </xf>
    <xf numFmtId="0" fontId="61" fillId="0" borderId="0" xfId="9" applyFont="1" applyFill="1" applyBorder="1" applyAlignment="1" applyProtection="1">
      <alignment horizontal="left" vertical="top" wrapText="1"/>
      <protection hidden="1"/>
    </xf>
    <xf numFmtId="0" fontId="41" fillId="11" borderId="51" xfId="0" applyFont="1" applyFill="1" applyBorder="1" applyAlignment="1" applyProtection="1">
      <alignment horizontal="left" vertical="top" wrapText="1"/>
      <protection hidden="1"/>
    </xf>
    <xf numFmtId="0" fontId="41" fillId="11" borderId="2" xfId="0" applyFont="1" applyFill="1" applyBorder="1" applyAlignment="1" applyProtection="1">
      <alignment horizontal="left" vertical="top" wrapText="1"/>
      <protection hidden="1"/>
    </xf>
    <xf numFmtId="0" fontId="61" fillId="0" borderId="7" xfId="9" applyFont="1" applyFill="1" applyBorder="1" applyAlignment="1" applyProtection="1">
      <alignment horizontal="left" vertical="center" wrapText="1"/>
      <protection hidden="1"/>
    </xf>
    <xf numFmtId="0" fontId="61" fillId="0" borderId="0" xfId="9" applyFont="1" applyFill="1" applyBorder="1" applyAlignment="1" applyProtection="1">
      <alignment horizontal="left" vertical="center" wrapText="1"/>
      <protection hidden="1"/>
    </xf>
    <xf numFmtId="0" fontId="41" fillId="11" borderId="80" xfId="0" applyFont="1" applyFill="1" applyBorder="1" applyAlignment="1" applyProtection="1">
      <alignment horizontal="center" vertical="top" wrapText="1"/>
      <protection hidden="1"/>
    </xf>
    <xf numFmtId="0" fontId="41" fillId="11" borderId="23" xfId="0" applyFont="1" applyFill="1" applyBorder="1" applyAlignment="1" applyProtection="1">
      <alignment horizontal="center" vertical="top"/>
      <protection hidden="1"/>
    </xf>
    <xf numFmtId="0" fontId="41" fillId="11" borderId="5" xfId="0" applyFont="1" applyFill="1" applyBorder="1" applyAlignment="1" applyProtection="1">
      <alignment horizontal="center" vertical="top"/>
      <protection hidden="1"/>
    </xf>
    <xf numFmtId="0" fontId="41" fillId="11" borderId="2" xfId="0" applyFont="1" applyFill="1" applyBorder="1" applyAlignment="1" applyProtection="1">
      <alignment horizontal="left" vertical="top"/>
      <protection hidden="1"/>
    </xf>
    <xf numFmtId="0" fontId="41" fillId="11" borderId="6" xfId="0" applyFont="1" applyFill="1" applyBorder="1" applyAlignment="1" applyProtection="1">
      <alignment horizontal="left" vertical="top"/>
      <protection hidden="1"/>
    </xf>
    <xf numFmtId="0" fontId="42" fillId="0" borderId="50" xfId="0" applyFont="1" applyFill="1" applyBorder="1" applyAlignment="1" applyProtection="1">
      <alignment horizontal="left" vertical="center" wrapText="1"/>
      <protection hidden="1"/>
    </xf>
    <xf numFmtId="0" fontId="42" fillId="0" borderId="9" xfId="0" applyFont="1" applyFill="1" applyBorder="1" applyAlignment="1" applyProtection="1">
      <alignment horizontal="left" vertical="center" wrapText="1"/>
      <protection hidden="1"/>
    </xf>
    <xf numFmtId="0" fontId="42" fillId="0" borderId="29" xfId="0" applyFont="1" applyFill="1" applyBorder="1" applyAlignment="1" applyProtection="1">
      <alignment horizontal="left" vertical="center" wrapText="1"/>
      <protection hidden="1"/>
    </xf>
    <xf numFmtId="0" fontId="42" fillId="9" borderId="9" xfId="10" applyFont="1" applyFill="1" applyBorder="1" applyAlignment="1" applyProtection="1">
      <alignment horizontal="center" vertical="top" wrapText="1"/>
      <protection locked="0" hidden="1"/>
    </xf>
    <xf numFmtId="0" fontId="42" fillId="9" borderId="29" xfId="10" applyFont="1" applyFill="1" applyBorder="1" applyAlignment="1" applyProtection="1">
      <alignment horizontal="center" vertical="top" wrapText="1"/>
      <protection locked="0" hidden="1"/>
    </xf>
    <xf numFmtId="176" fontId="42" fillId="11" borderId="3" xfId="0" applyNumberFormat="1" applyFont="1" applyFill="1" applyBorder="1" applyAlignment="1" applyProtection="1">
      <alignment horizontal="left" vertical="top" wrapText="1"/>
      <protection hidden="1"/>
    </xf>
    <xf numFmtId="176" fontId="42" fillId="11" borderId="2" xfId="0" applyNumberFormat="1" applyFont="1" applyFill="1" applyBorder="1" applyAlignment="1" applyProtection="1">
      <alignment horizontal="left" vertical="top" wrapText="1"/>
      <protection hidden="1"/>
    </xf>
    <xf numFmtId="0" fontId="9" fillId="0" borderId="7"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horizontal="center" vertical="center" wrapText="1"/>
      <protection hidden="1"/>
    </xf>
    <xf numFmtId="0" fontId="41" fillId="0" borderId="25" xfId="0" applyFont="1" applyFill="1" applyBorder="1" applyAlignment="1" applyProtection="1">
      <alignment horizontal="center" vertical="center" wrapText="1"/>
      <protection hidden="1"/>
    </xf>
    <xf numFmtId="168" fontId="41" fillId="0" borderId="0" xfId="0" applyNumberFormat="1" applyFont="1" applyFill="1" applyBorder="1" applyAlignment="1" applyProtection="1">
      <alignment horizontal="left" vertical="center" wrapText="1"/>
      <protection hidden="1"/>
    </xf>
    <xf numFmtId="168" fontId="41" fillId="0" borderId="25" xfId="0" applyNumberFormat="1" applyFont="1" applyFill="1" applyBorder="1" applyAlignment="1" applyProtection="1">
      <alignment horizontal="left" vertical="center" wrapText="1"/>
      <protection hidden="1"/>
    </xf>
    <xf numFmtId="0" fontId="42" fillId="0" borderId="3" xfId="0" applyFont="1" applyFill="1" applyBorder="1" applyAlignment="1" applyProtection="1">
      <alignment horizontal="left" vertical="top" wrapText="1"/>
      <protection hidden="1"/>
    </xf>
    <xf numFmtId="0" fontId="42" fillId="0" borderId="2" xfId="0" applyFont="1" applyFill="1" applyBorder="1" applyAlignment="1" applyProtection="1">
      <alignment horizontal="left" vertical="top" wrapText="1"/>
      <protection hidden="1"/>
    </xf>
    <xf numFmtId="0" fontId="42" fillId="0" borderId="52" xfId="0" applyFont="1" applyFill="1" applyBorder="1" applyAlignment="1" applyProtection="1">
      <alignment horizontal="left" vertical="top" wrapText="1"/>
      <protection hidden="1"/>
    </xf>
    <xf numFmtId="0" fontId="42" fillId="0" borderId="7" xfId="0" applyNumberFormat="1" applyFont="1" applyFill="1" applyBorder="1" applyAlignment="1" applyProtection="1">
      <alignment horizontal="left" vertical="center" wrapText="1"/>
      <protection hidden="1"/>
    </xf>
    <xf numFmtId="0" fontId="41" fillId="0" borderId="0" xfId="0" applyNumberFormat="1" applyFont="1" applyFill="1" applyBorder="1" applyAlignment="1" applyProtection="1">
      <alignment horizontal="left" vertical="center" wrapText="1"/>
      <protection hidden="1"/>
    </xf>
    <xf numFmtId="0" fontId="16" fillId="0" borderId="63" xfId="0" applyFont="1" applyFill="1" applyBorder="1" applyAlignment="1" applyProtection="1">
      <alignment horizontal="left"/>
      <protection hidden="1"/>
    </xf>
    <xf numFmtId="0" fontId="12" fillId="0" borderId="50"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0" fontId="21" fillId="6" borderId="45" xfId="0" applyFont="1" applyFill="1" applyBorder="1" applyAlignment="1" applyProtection="1">
      <alignment horizontal="center" vertical="center" wrapText="1"/>
      <protection locked="0"/>
    </xf>
    <xf numFmtId="0" fontId="21" fillId="6" borderId="3"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47" xfId="0" applyFont="1" applyFill="1" applyBorder="1" applyAlignment="1" applyProtection="1">
      <alignment horizontal="center" vertical="center" wrapText="1"/>
      <protection locked="0"/>
    </xf>
    <xf numFmtId="0" fontId="0" fillId="5" borderId="0" xfId="0" applyFill="1" applyAlignment="1" applyProtection="1">
      <alignment horizontal="center"/>
      <protection hidden="1"/>
    </xf>
    <xf numFmtId="0" fontId="16" fillId="6" borderId="67" xfId="0" applyFont="1" applyFill="1" applyBorder="1" applyProtection="1">
      <protection hidden="1"/>
    </xf>
    <xf numFmtId="0" fontId="16" fillId="6" borderId="68" xfId="0" applyFont="1" applyFill="1" applyBorder="1" applyProtection="1">
      <protection hidden="1"/>
    </xf>
    <xf numFmtId="0" fontId="16" fillId="6" borderId="64" xfId="0" applyFont="1" applyFill="1" applyBorder="1" applyProtection="1">
      <protection hidden="1"/>
    </xf>
    <xf numFmtId="0" fontId="16" fillId="6" borderId="63" xfId="0" applyFont="1" applyFill="1" applyBorder="1" applyProtection="1">
      <protection hidden="1"/>
    </xf>
    <xf numFmtId="0" fontId="25" fillId="5" borderId="0" xfId="0" applyFont="1" applyFill="1" applyAlignment="1" applyProtection="1">
      <alignment horizontal="center" vertical="center"/>
      <protection hidden="1"/>
    </xf>
    <xf numFmtId="0" fontId="29" fillId="6" borderId="64" xfId="0" applyFont="1" applyFill="1" applyBorder="1" applyAlignment="1" applyProtection="1">
      <alignment horizontal="right"/>
      <protection hidden="1"/>
    </xf>
    <xf numFmtId="0" fontId="29" fillId="6" borderId="63" xfId="0" applyFont="1" applyFill="1" applyBorder="1" applyAlignment="1" applyProtection="1">
      <alignment horizontal="right"/>
      <protection hidden="1"/>
    </xf>
    <xf numFmtId="0" fontId="16" fillId="6" borderId="69" xfId="0" applyFont="1" applyFill="1" applyBorder="1" applyProtection="1">
      <protection hidden="1"/>
    </xf>
    <xf numFmtId="0" fontId="16" fillId="6" borderId="70" xfId="0" applyFont="1" applyFill="1" applyBorder="1" applyProtection="1">
      <protection hidden="1"/>
    </xf>
    <xf numFmtId="0" fontId="29" fillId="6" borderId="71" xfId="0" applyFont="1" applyFill="1" applyBorder="1" applyAlignment="1" applyProtection="1">
      <alignment horizontal="right"/>
      <protection hidden="1"/>
    </xf>
    <xf numFmtId="0" fontId="29" fillId="6" borderId="72" xfId="0" applyFont="1" applyFill="1" applyBorder="1" applyAlignment="1" applyProtection="1">
      <alignment horizontal="right"/>
      <protection hidden="1"/>
    </xf>
    <xf numFmtId="0" fontId="31" fillId="0" borderId="77" xfId="0" applyFont="1" applyFill="1" applyBorder="1" applyAlignment="1" applyProtection="1">
      <alignment horizontal="left"/>
      <protection hidden="1"/>
    </xf>
    <xf numFmtId="0" fontId="31" fillId="0" borderId="78" xfId="0" applyFont="1" applyFill="1" applyBorder="1" applyAlignment="1" applyProtection="1">
      <alignment horizontal="left"/>
      <protection hidden="1"/>
    </xf>
    <xf numFmtId="0" fontId="31" fillId="0" borderId="71" xfId="0" applyFont="1" applyFill="1" applyBorder="1" applyAlignment="1" applyProtection="1">
      <alignment horizontal="left"/>
      <protection hidden="1"/>
    </xf>
    <xf numFmtId="0" fontId="31" fillId="0" borderId="73" xfId="0" applyFont="1" applyFill="1" applyBorder="1" applyAlignment="1" applyProtection="1">
      <alignment horizontal="left"/>
      <protection hidden="1"/>
    </xf>
    <xf numFmtId="0" fontId="31" fillId="0" borderId="63" xfId="0" applyFont="1" applyFill="1" applyBorder="1" applyAlignment="1" applyProtection="1">
      <alignment horizontal="left"/>
      <protection hidden="1"/>
    </xf>
    <xf numFmtId="0" fontId="31" fillId="6" borderId="50" xfId="0" applyFont="1" applyFill="1" applyBorder="1" applyAlignment="1" applyProtection="1">
      <alignment horizontal="left"/>
      <protection hidden="1"/>
    </xf>
    <xf numFmtId="0" fontId="31" fillId="6" borderId="9" xfId="0" applyFont="1" applyFill="1" applyBorder="1" applyAlignment="1" applyProtection="1">
      <alignment horizontal="left"/>
      <protection hidden="1"/>
    </xf>
    <xf numFmtId="0" fontId="31" fillId="6" borderId="4" xfId="0" applyFont="1" applyFill="1" applyBorder="1" applyAlignment="1" applyProtection="1">
      <alignment horizontal="left"/>
      <protection hidden="1"/>
    </xf>
    <xf numFmtId="0" fontId="0" fillId="4" borderId="0" xfId="0" applyFill="1" applyAlignment="1" applyProtection="1">
      <alignment horizontal="center"/>
      <protection hidden="1"/>
    </xf>
    <xf numFmtId="0" fontId="2" fillId="4" borderId="0" xfId="0" applyFont="1" applyFill="1" applyAlignment="1" applyProtection="1">
      <alignment horizontal="center" vertical="center"/>
      <protection hidden="1"/>
    </xf>
    <xf numFmtId="0" fontId="29" fillId="6" borderId="73" xfId="0" applyFont="1" applyFill="1" applyBorder="1" applyAlignment="1" applyProtection="1">
      <alignment horizontal="right"/>
      <protection hidden="1"/>
    </xf>
    <xf numFmtId="0" fontId="29" fillId="6" borderId="76" xfId="0" applyFont="1" applyFill="1" applyBorder="1" applyAlignment="1" applyProtection="1">
      <alignment horizontal="right"/>
      <protection hidden="1"/>
    </xf>
    <xf numFmtId="0" fontId="31" fillId="0" borderId="74" xfId="0" applyFont="1" applyFill="1" applyBorder="1" applyAlignment="1" applyProtection="1">
      <alignment horizontal="left"/>
      <protection hidden="1"/>
    </xf>
    <xf numFmtId="0" fontId="31" fillId="0" borderId="75" xfId="0" applyFont="1" applyFill="1" applyBorder="1" applyAlignment="1" applyProtection="1">
      <alignment horizontal="left"/>
      <protection hidden="1"/>
    </xf>
    <xf numFmtId="0" fontId="5" fillId="0" borderId="1" xfId="10" applyFont="1" applyBorder="1" applyAlignment="1">
      <alignment horizontal="center"/>
    </xf>
    <xf numFmtId="0" fontId="56" fillId="13" borderId="1" xfId="0" applyFont="1" applyFill="1" applyBorder="1" applyAlignment="1">
      <alignment horizontal="left"/>
    </xf>
    <xf numFmtId="0" fontId="56" fillId="13" borderId="3" xfId="0" applyFont="1" applyFill="1" applyBorder="1" applyAlignment="1">
      <alignment horizontal="left"/>
    </xf>
    <xf numFmtId="0" fontId="56" fillId="13" borderId="2" xfId="0" applyFont="1" applyFill="1" applyBorder="1" applyAlignment="1">
      <alignment horizontal="left"/>
    </xf>
    <xf numFmtId="0" fontId="56" fillId="13" borderId="6" xfId="0" applyFont="1" applyFill="1" applyBorder="1" applyAlignment="1">
      <alignment horizontal="left"/>
    </xf>
  </cellXfs>
  <cellStyles count="22">
    <cellStyle name="Euro" xfId="2" xr:uid="{00000000-0005-0000-0000-000000000000}"/>
    <cellStyle name="Euro 2" xfId="3" xr:uid="{00000000-0005-0000-0000-000001000000}"/>
    <cellStyle name="Euro 2 2" xfId="4" xr:uid="{00000000-0005-0000-0000-000002000000}"/>
    <cellStyle name="Euro 3" xfId="5" xr:uid="{00000000-0005-0000-0000-000003000000}"/>
    <cellStyle name="Ezres" xfId="1" builtinId="3"/>
    <cellStyle name="Ezres 2" xfId="6" xr:uid="{00000000-0005-0000-0000-000005000000}"/>
    <cellStyle name="Ezres 2 2" xfId="7" xr:uid="{00000000-0005-0000-0000-000006000000}"/>
    <cellStyle name="Ezres 3" xfId="8" xr:uid="{00000000-0005-0000-0000-000007000000}"/>
    <cellStyle name="Hivatkozás" xfId="9" builtinId="8"/>
    <cellStyle name="Normál" xfId="0" builtinId="0"/>
    <cellStyle name="Normál 2" xfId="10" xr:uid="{00000000-0005-0000-0000-00000A000000}"/>
    <cellStyle name="Normál 3" xfId="11" xr:uid="{00000000-0005-0000-0000-00000B000000}"/>
    <cellStyle name="Normál 4" xfId="12" xr:uid="{00000000-0005-0000-0000-00000C000000}"/>
    <cellStyle name="Pénznem 2" xfId="13" xr:uid="{00000000-0005-0000-0000-00000D000000}"/>
    <cellStyle name="Pénznem 2 2" xfId="14" xr:uid="{00000000-0005-0000-0000-00000E000000}"/>
    <cellStyle name="Pénznem 3" xfId="15" xr:uid="{00000000-0005-0000-0000-00000F000000}"/>
    <cellStyle name="Százalék" xfId="16" builtinId="5"/>
    <cellStyle name="Százalék 2" xfId="17" xr:uid="{00000000-0005-0000-0000-000011000000}"/>
    <cellStyle name="Százalék 2 2" xfId="18" xr:uid="{00000000-0005-0000-0000-000012000000}"/>
    <cellStyle name="Százalék 3" xfId="19" xr:uid="{00000000-0005-0000-0000-000013000000}"/>
    <cellStyle name="Százalék 4" xfId="20" xr:uid="{00000000-0005-0000-0000-000014000000}"/>
    <cellStyle name="Százalék 5"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11641</xdr:colOff>
      <xdr:row>1</xdr:row>
      <xdr:rowOff>95250</xdr:rowOff>
    </xdr:from>
    <xdr:to>
      <xdr:col>9</xdr:col>
      <xdr:colOff>224366</xdr:colOff>
      <xdr:row>3</xdr:row>
      <xdr:rowOff>265430</xdr:rowOff>
    </xdr:to>
    <xdr:pic>
      <xdr:nvPicPr>
        <xdr:cNvPr id="3" name="Kép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8150224" y="317500"/>
          <a:ext cx="1586442" cy="487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1390650</xdr:colOff>
      <xdr:row>0</xdr:row>
      <xdr:rowOff>476250</xdr:rowOff>
    </xdr:to>
    <xdr:pic>
      <xdr:nvPicPr>
        <xdr:cNvPr id="3" name="Kép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a:fillRect/>
        </a:stretch>
      </xdr:blipFill>
      <xdr:spPr>
        <a:xfrm>
          <a:off x="38100" y="28575"/>
          <a:ext cx="1352550"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1219200</xdr:colOff>
      <xdr:row>1</xdr:row>
      <xdr:rowOff>104775</xdr:rowOff>
    </xdr:from>
    <xdr:to>
      <xdr:col>9</xdr:col>
      <xdr:colOff>85724</xdr:colOff>
      <xdr:row>3</xdr:row>
      <xdr:rowOff>304800</xdr:rowOff>
    </xdr:to>
    <xdr:pic>
      <xdr:nvPicPr>
        <xdr:cNvPr id="2" name="Kép 4" descr="Képtalálat a következőre: „erste bank”">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052" b="35735"/>
        <a:stretch>
          <a:fillRect/>
        </a:stretch>
      </xdr:blipFill>
      <xdr:spPr bwMode="auto">
        <a:xfrm>
          <a:off x="7772400" y="323850"/>
          <a:ext cx="1733549"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1219200</xdr:colOff>
      <xdr:row>1</xdr:row>
      <xdr:rowOff>104775</xdr:rowOff>
    </xdr:from>
    <xdr:to>
      <xdr:col>8</xdr:col>
      <xdr:colOff>85725</xdr:colOff>
      <xdr:row>3</xdr:row>
      <xdr:rowOff>304800</xdr:rowOff>
    </xdr:to>
    <xdr:pic>
      <xdr:nvPicPr>
        <xdr:cNvPr id="2" name="Kép 4" descr="Képtalálat a következőre: „erste bank”">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052" b="35735"/>
        <a:stretch>
          <a:fillRect/>
        </a:stretch>
      </xdr:blipFill>
      <xdr:spPr bwMode="auto">
        <a:xfrm>
          <a:off x="8407400" y="320675"/>
          <a:ext cx="1870075"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904875</xdr:colOff>
      <xdr:row>0</xdr:row>
      <xdr:rowOff>400050</xdr:rowOff>
    </xdr:to>
    <xdr:pic>
      <xdr:nvPicPr>
        <xdr:cNvPr id="949518" name="Picture 1" descr="ERSTE">
          <a:extLst>
            <a:ext uri="{FF2B5EF4-FFF2-40B4-BE49-F238E27FC236}">
              <a16:creationId xmlns:a16="http://schemas.microsoft.com/office/drawing/2014/main" id="{00000000-0008-0000-0600-00000E7D0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9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0</xdr:row>
      <xdr:rowOff>419100</xdr:rowOff>
    </xdr:to>
    <xdr:pic>
      <xdr:nvPicPr>
        <xdr:cNvPr id="950542" name="Picture 1" descr="ERSTE">
          <a:extLst>
            <a:ext uri="{FF2B5EF4-FFF2-40B4-BE49-F238E27FC236}">
              <a16:creationId xmlns:a16="http://schemas.microsoft.com/office/drawing/2014/main" id="{00000000-0008-0000-0700-00000E810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63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ksh.hu/stadat_files/mun/hu/mun0207.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nb.hu/fogyasztovedelem/csaladi-zold-penzugyek/"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IV326"/>
  <sheetViews>
    <sheetView showGridLines="0" tabSelected="1" zoomScale="90" zoomScaleNormal="90" zoomScaleSheetLayoutView="50" workbookViewId="0">
      <selection activeCell="E17" sqref="E17"/>
    </sheetView>
  </sheetViews>
  <sheetFormatPr defaultColWidth="9.109375" defaultRowHeight="13.8" x14ac:dyDescent="0.3"/>
  <cols>
    <col min="1" max="1" width="7.6640625" style="17" customWidth="1"/>
    <col min="2" max="2" width="19.5546875" style="17" customWidth="1"/>
    <col min="3" max="3" width="15.33203125" style="17" customWidth="1"/>
    <col min="4" max="4" width="14.6640625" style="17" customWidth="1"/>
    <col min="5" max="5" width="15.44140625" style="17" customWidth="1"/>
    <col min="6" max="6" width="30" style="17" customWidth="1"/>
    <col min="7" max="7" width="19.33203125" style="17" customWidth="1"/>
    <col min="8" max="8" width="20.6640625" style="17" customWidth="1"/>
    <col min="9" max="9" width="19.44140625" style="17" hidden="1" customWidth="1"/>
    <col min="10" max="10" width="15.5546875" style="17" customWidth="1"/>
    <col min="11" max="11" width="14.88671875" style="17" customWidth="1"/>
    <col min="12" max="12" width="13.88671875" style="17" hidden="1"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22" t="s">
        <v>20</v>
      </c>
      <c r="B1" s="322"/>
      <c r="C1" s="341" t="s">
        <v>276</v>
      </c>
      <c r="D1" s="341"/>
      <c r="E1" s="341"/>
      <c r="F1" s="341"/>
      <c r="G1" s="341"/>
      <c r="H1" s="341"/>
      <c r="I1" s="17"/>
      <c r="J1" s="18"/>
      <c r="K1" s="124"/>
      <c r="M1" s="138" t="s">
        <v>125</v>
      </c>
      <c r="AB1" s="19" t="s">
        <v>83</v>
      </c>
    </row>
    <row r="2" spans="1:28" s="19" customFormat="1" ht="12.75" customHeight="1" x14ac:dyDescent="0.3">
      <c r="A2" s="323" t="s">
        <v>0</v>
      </c>
      <c r="B2" s="323"/>
      <c r="C2" s="114">
        <v>10000000</v>
      </c>
      <c r="D2" s="322"/>
      <c r="E2" s="322"/>
      <c r="F2" s="150"/>
      <c r="G2" s="17"/>
      <c r="H2" s="17"/>
      <c r="I2" s="17"/>
      <c r="J2" s="21">
        <v>1</v>
      </c>
      <c r="AB2" s="19">
        <v>0</v>
      </c>
    </row>
    <row r="3" spans="1:28" s="19" customFormat="1" ht="12.75" customHeight="1" x14ac:dyDescent="0.3">
      <c r="A3" s="323" t="s">
        <v>25</v>
      </c>
      <c r="B3" s="323"/>
      <c r="C3" s="113">
        <v>240</v>
      </c>
      <c r="E3" s="14" t="s">
        <v>11</v>
      </c>
      <c r="F3" s="22">
        <f>+'THM calc'!F3</f>
        <v>3.1226375998649525E-2</v>
      </c>
      <c r="G3" s="270"/>
      <c r="H3" s="17"/>
      <c r="I3" s="17"/>
      <c r="J3" s="21">
        <v>3</v>
      </c>
      <c r="K3" s="21"/>
      <c r="AB3" s="19">
        <v>6</v>
      </c>
    </row>
    <row r="4" spans="1:28" s="19" customFormat="1" ht="26.25" customHeight="1" thickBot="1" x14ac:dyDescent="0.35">
      <c r="A4" s="334" t="s">
        <v>275</v>
      </c>
      <c r="B4" s="323"/>
      <c r="C4" s="1">
        <v>0.03</v>
      </c>
      <c r="D4" s="115"/>
      <c r="E4" s="148"/>
      <c r="F4" s="148"/>
      <c r="G4" s="148"/>
      <c r="H4" s="17"/>
      <c r="I4" s="17"/>
      <c r="J4" s="21" t="s">
        <v>13</v>
      </c>
      <c r="K4" s="21"/>
      <c r="AB4" s="19">
        <v>12</v>
      </c>
    </row>
    <row r="5" spans="1:28" s="19" customFormat="1" ht="27.75" customHeight="1" x14ac:dyDescent="0.3">
      <c r="A5" s="334" t="s">
        <v>274</v>
      </c>
      <c r="B5" s="323"/>
      <c r="C5" s="1">
        <f>Munka1!$B$32</f>
        <v>4.7734999999999986E-2</v>
      </c>
      <c r="D5" s="16"/>
      <c r="G5" s="148"/>
      <c r="H5" s="335" t="s">
        <v>87</v>
      </c>
      <c r="I5" s="336"/>
      <c r="J5" s="286" t="s">
        <v>14</v>
      </c>
      <c r="K5" s="21"/>
      <c r="AB5" s="125">
        <v>18</v>
      </c>
    </row>
    <row r="6" spans="1:28" s="19" customFormat="1" ht="12.75" customHeight="1" x14ac:dyDescent="0.3">
      <c r="A6" s="323" t="s">
        <v>22</v>
      </c>
      <c r="B6" s="323"/>
      <c r="C6" s="2">
        <v>0</v>
      </c>
      <c r="D6" s="16"/>
      <c r="E6" s="325" t="s">
        <v>231</v>
      </c>
      <c r="F6" s="326"/>
      <c r="G6" s="283">
        <v>0</v>
      </c>
      <c r="H6" s="337"/>
      <c r="I6" s="338"/>
      <c r="J6" s="287"/>
      <c r="K6" s="21"/>
      <c r="AB6" s="19">
        <v>24</v>
      </c>
    </row>
    <row r="7" spans="1:28" s="19" customFormat="1" ht="12.75" customHeight="1" x14ac:dyDescent="0.3">
      <c r="A7" s="324" t="s">
        <v>2</v>
      </c>
      <c r="B7" s="324"/>
      <c r="C7" s="3">
        <v>0</v>
      </c>
      <c r="D7" s="16"/>
      <c r="H7" s="337"/>
      <c r="I7" s="338"/>
      <c r="J7" s="281"/>
      <c r="K7" s="17"/>
    </row>
    <row r="8" spans="1:28" s="19" customFormat="1" ht="12.75" customHeight="1" x14ac:dyDescent="0.3">
      <c r="A8" s="324" t="s">
        <v>3</v>
      </c>
      <c r="B8" s="324"/>
      <c r="C8" s="4">
        <v>0</v>
      </c>
      <c r="D8" s="16"/>
      <c r="H8" s="337"/>
      <c r="I8" s="338"/>
      <c r="J8" s="281"/>
      <c r="K8" s="17"/>
    </row>
    <row r="9" spans="1:28" s="19" customFormat="1" x14ac:dyDescent="0.3">
      <c r="A9" s="323" t="s">
        <v>21</v>
      </c>
      <c r="B9" s="323"/>
      <c r="C9" s="2">
        <v>0</v>
      </c>
      <c r="D9" s="16"/>
      <c r="E9" s="278" t="s">
        <v>8</v>
      </c>
      <c r="F9" s="279"/>
      <c r="G9" s="284">
        <f>+VLOOKUP(G6+1,A25:F325,6,0)</f>
        <v>55460</v>
      </c>
      <c r="H9" s="337"/>
      <c r="I9" s="338"/>
      <c r="J9" s="288"/>
      <c r="K9" s="17"/>
    </row>
    <row r="10" spans="1:28" s="19" customFormat="1" ht="12.75" customHeight="1" x14ac:dyDescent="0.3">
      <c r="A10" s="324" t="s">
        <v>2</v>
      </c>
      <c r="B10" s="324"/>
      <c r="C10" s="3">
        <v>0</v>
      </c>
      <c r="D10" s="16"/>
      <c r="E10" s="281"/>
      <c r="F10" s="282"/>
      <c r="G10" s="17"/>
      <c r="H10" s="337"/>
      <c r="I10" s="338"/>
      <c r="J10" s="330" t="s">
        <v>37</v>
      </c>
      <c r="K10" s="331"/>
      <c r="L10" s="25"/>
      <c r="M10" s="20"/>
      <c r="N10" s="20"/>
      <c r="O10" s="20"/>
      <c r="P10" s="20"/>
      <c r="Q10" s="20"/>
      <c r="R10" s="20"/>
    </row>
    <row r="11" spans="1:28" s="19" customFormat="1" x14ac:dyDescent="0.3">
      <c r="A11" s="324" t="s">
        <v>3</v>
      </c>
      <c r="B11" s="324"/>
      <c r="C11" s="4">
        <v>0</v>
      </c>
      <c r="D11" s="16"/>
      <c r="E11" s="325" t="s">
        <v>238</v>
      </c>
      <c r="F11" s="326"/>
      <c r="G11" s="285">
        <f>$G9+($C$2*0.0008366)</f>
        <v>63826</v>
      </c>
      <c r="H11" s="337"/>
      <c r="I11" s="338"/>
      <c r="J11" s="332"/>
      <c r="K11" s="333"/>
      <c r="L11" s="26"/>
      <c r="M11" s="20"/>
      <c r="N11" s="20"/>
      <c r="O11" s="20"/>
      <c r="P11" s="20"/>
      <c r="Q11" s="20"/>
      <c r="R11" s="20"/>
    </row>
    <row r="12" spans="1:28" s="19" customFormat="1" ht="14.4" thickBot="1" x14ac:dyDescent="0.35">
      <c r="A12" s="329" t="s">
        <v>19</v>
      </c>
      <c r="B12" s="329"/>
      <c r="C12" s="5">
        <f>+IF(C2*C9&lt;C10,C10,IF(OR(C11=0,C11="",C11=" "),C2*C9,IF(C2*C9&gt;C11,C11,C2*C9)))</f>
        <v>0</v>
      </c>
      <c r="D12" s="151"/>
      <c r="E12" s="278" t="s">
        <v>239</v>
      </c>
      <c r="F12" s="273"/>
      <c r="G12" s="285">
        <f>$G9+($C$2*0.0005082)</f>
        <v>60542</v>
      </c>
      <c r="H12" s="339"/>
      <c r="I12" s="340"/>
      <c r="J12" s="289" t="s">
        <v>41</v>
      </c>
      <c r="K12" s="34">
        <v>0.01</v>
      </c>
      <c r="L12" s="27">
        <f>$C$4+K12</f>
        <v>0.04</v>
      </c>
      <c r="M12" s="20"/>
      <c r="N12" s="20"/>
      <c r="O12" s="20"/>
      <c r="P12" s="20"/>
      <c r="Q12" s="20"/>
      <c r="R12" s="20"/>
    </row>
    <row r="13" spans="1:28" s="19" customFormat="1" x14ac:dyDescent="0.3">
      <c r="A13" s="323" t="s">
        <v>4</v>
      </c>
      <c r="B13" s="323"/>
      <c r="C13" s="6" t="s">
        <v>13</v>
      </c>
      <c r="D13" s="16"/>
      <c r="E13" s="278" t="s">
        <v>240</v>
      </c>
      <c r="F13" s="274"/>
      <c r="G13" s="276">
        <f>$G9+($C$2*0.0003738)</f>
        <v>59198</v>
      </c>
      <c r="H13" s="17"/>
      <c r="I13" s="17"/>
      <c r="J13" s="28" t="s">
        <v>40</v>
      </c>
      <c r="K13" s="34">
        <v>0.02</v>
      </c>
      <c r="L13" s="27">
        <f>$C$4+K13</f>
        <v>0.05</v>
      </c>
      <c r="M13" s="20"/>
      <c r="N13" s="20"/>
      <c r="O13" s="20"/>
      <c r="P13" s="20"/>
      <c r="Q13" s="20"/>
      <c r="R13" s="20"/>
    </row>
    <row r="14" spans="1:28" s="19" customFormat="1" x14ac:dyDescent="0.3">
      <c r="A14" s="323" t="s">
        <v>242</v>
      </c>
      <c r="B14" s="323"/>
      <c r="C14" s="280">
        <v>0.01</v>
      </c>
      <c r="D14" s="17"/>
      <c r="I14" s="17"/>
      <c r="J14" s="128" t="s">
        <v>92</v>
      </c>
      <c r="K14" s="129">
        <f>L14</f>
        <v>4.0863960770095353E-2</v>
      </c>
      <c r="L14" s="27">
        <f>((IRR(J25:J325,0.01)+1)^12)-1</f>
        <v>4.0863960770095353E-2</v>
      </c>
      <c r="M14" s="20"/>
      <c r="N14" s="20"/>
      <c r="O14" s="20"/>
      <c r="P14" s="20"/>
      <c r="Q14" s="20"/>
      <c r="R14" s="20"/>
    </row>
    <row r="15" spans="1:28" s="19" customFormat="1" x14ac:dyDescent="0.3">
      <c r="A15" s="323" t="s">
        <v>24</v>
      </c>
      <c r="B15" s="323"/>
      <c r="C15" s="267">
        <v>0</v>
      </c>
      <c r="D15" s="17"/>
      <c r="I15" s="17"/>
      <c r="J15" s="128" t="s">
        <v>93</v>
      </c>
      <c r="K15" s="129">
        <f>L15</f>
        <v>5.1271530700922829E-2</v>
      </c>
      <c r="L15" s="27">
        <f>((IRR(K25:K325,0.01)+1)^12)-1</f>
        <v>5.1271530700922829E-2</v>
      </c>
      <c r="M15" s="20"/>
      <c r="N15" s="20"/>
      <c r="O15" s="20"/>
      <c r="P15" s="20"/>
      <c r="Q15" s="20"/>
      <c r="R15" s="20"/>
    </row>
    <row r="16" spans="1:28" s="19" customFormat="1" x14ac:dyDescent="0.3">
      <c r="A16" s="323" t="s">
        <v>23</v>
      </c>
      <c r="B16" s="323"/>
      <c r="C16" s="267">
        <v>0</v>
      </c>
      <c r="D16" s="17"/>
      <c r="I16" s="17"/>
      <c r="J16" s="17"/>
      <c r="K16" s="17"/>
      <c r="L16" s="20"/>
      <c r="M16" s="20"/>
      <c r="N16" s="20"/>
      <c r="O16" s="20"/>
      <c r="P16" s="20"/>
      <c r="Q16" s="20"/>
      <c r="R16" s="20"/>
    </row>
    <row r="17" spans="1:256" s="19" customFormat="1" x14ac:dyDescent="0.3">
      <c r="A17" s="323" t="s">
        <v>84</v>
      </c>
      <c r="B17" s="323"/>
      <c r="C17" s="114">
        <v>325</v>
      </c>
      <c r="D17" s="16"/>
      <c r="E17" s="17"/>
      <c r="F17" s="17"/>
      <c r="G17" s="17"/>
      <c r="I17" s="17"/>
      <c r="J17" s="17"/>
      <c r="K17" s="17"/>
      <c r="L17" s="20"/>
      <c r="M17" s="20"/>
      <c r="N17" s="20"/>
      <c r="O17" s="20"/>
      <c r="P17" s="20"/>
      <c r="Q17" s="20"/>
      <c r="R17" s="20"/>
    </row>
    <row r="18" spans="1:256" s="19" customFormat="1" x14ac:dyDescent="0.3">
      <c r="A18" s="323" t="s">
        <v>72</v>
      </c>
      <c r="B18" s="323"/>
      <c r="C18" s="114">
        <v>12600</v>
      </c>
      <c r="D18" s="16"/>
      <c r="E18" s="17"/>
      <c r="F18" s="17"/>
      <c r="G18" s="17"/>
      <c r="H18" s="17"/>
      <c r="I18" s="17"/>
      <c r="J18" s="17"/>
      <c r="K18" s="17"/>
      <c r="L18" s="20"/>
      <c r="M18" s="20"/>
      <c r="N18" s="20"/>
      <c r="O18" s="20"/>
      <c r="P18" s="20"/>
      <c r="Q18" s="20"/>
      <c r="R18" s="20"/>
    </row>
    <row r="19" spans="1:256" s="19" customFormat="1" x14ac:dyDescent="0.3">
      <c r="A19" s="323" t="s">
        <v>245</v>
      </c>
      <c r="B19" s="323"/>
      <c r="C19" s="267">
        <v>0</v>
      </c>
      <c r="D19" s="290"/>
      <c r="E19" s="17"/>
      <c r="F19" s="17"/>
      <c r="G19" s="17"/>
      <c r="H19" s="17"/>
      <c r="I19" s="17"/>
      <c r="J19" s="17"/>
      <c r="K19" s="17"/>
      <c r="L19" s="20"/>
      <c r="M19" s="20"/>
      <c r="N19" s="20"/>
      <c r="O19" s="20"/>
      <c r="P19" s="20"/>
      <c r="Q19" s="20"/>
      <c r="R19" s="20"/>
    </row>
    <row r="20" spans="1:256" s="19" customFormat="1" x14ac:dyDescent="0.3">
      <c r="A20" s="323" t="s">
        <v>246</v>
      </c>
      <c r="B20" s="323"/>
      <c r="C20" s="267">
        <v>0</v>
      </c>
      <c r="D20" s="290"/>
      <c r="E20" s="17"/>
      <c r="F20" s="17"/>
      <c r="G20" s="17"/>
      <c r="H20" s="17"/>
      <c r="I20" s="17"/>
      <c r="J20" s="17"/>
      <c r="K20" s="17"/>
      <c r="L20" s="20"/>
      <c r="M20" s="20"/>
      <c r="N20" s="20"/>
      <c r="O20" s="20"/>
      <c r="P20" s="20"/>
      <c r="Q20" s="20"/>
      <c r="R20" s="20"/>
    </row>
    <row r="21" spans="1:256" x14ac:dyDescent="0.3">
      <c r="A21" s="323" t="s">
        <v>151</v>
      </c>
      <c r="B21" s="323"/>
      <c r="C21" s="271">
        <f>+C22+C2</f>
        <v>13400924</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c r="IR21" s="322"/>
      <c r="IS21" s="322"/>
      <c r="IT21" s="322"/>
      <c r="IU21" s="322"/>
      <c r="IV21" s="322"/>
    </row>
    <row r="22" spans="1:256" ht="15.6" x14ac:dyDescent="0.3">
      <c r="A22" s="323" t="s">
        <v>152</v>
      </c>
      <c r="B22" s="323"/>
      <c r="C22" s="271">
        <f>D326+C18+(C17*C3)+C16+C15+C12+C19+C20+G326</f>
        <v>3400924</v>
      </c>
      <c r="J22" s="327" t="s">
        <v>36</v>
      </c>
      <c r="K22" s="328"/>
      <c r="L22" s="7">
        <v>11</v>
      </c>
      <c r="M22" s="7">
        <v>12</v>
      </c>
      <c r="N22" s="7">
        <v>13</v>
      </c>
      <c r="O22" s="7">
        <v>14</v>
      </c>
      <c r="P22" s="7">
        <v>15</v>
      </c>
      <c r="Q22" s="7">
        <v>16</v>
      </c>
      <c r="R22" s="7">
        <v>17</v>
      </c>
      <c r="S22" s="17">
        <v>18</v>
      </c>
    </row>
    <row r="23" spans="1:256" ht="15.6" x14ac:dyDescent="0.3">
      <c r="J23" s="294"/>
      <c r="K23" s="294"/>
      <c r="L23" s="7"/>
      <c r="M23" s="7"/>
      <c r="N23" s="7"/>
      <c r="O23" s="7"/>
      <c r="P23" s="7"/>
      <c r="Q23" s="7"/>
      <c r="R23" s="7"/>
    </row>
    <row r="24" spans="1:256" ht="39" customHeight="1" x14ac:dyDescent="0.3">
      <c r="A24" s="8" t="s">
        <v>5</v>
      </c>
      <c r="B24" s="9" t="s">
        <v>6</v>
      </c>
      <c r="C24" s="8" t="s">
        <v>7</v>
      </c>
      <c r="D24" s="12" t="s">
        <v>28</v>
      </c>
      <c r="E24" s="12" t="s">
        <v>253</v>
      </c>
      <c r="F24" s="12" t="s">
        <v>244</v>
      </c>
      <c r="G24" s="10" t="s">
        <v>242</v>
      </c>
      <c r="H24" s="12" t="s">
        <v>243</v>
      </c>
      <c r="I24" s="13" t="s">
        <v>73</v>
      </c>
      <c r="J24" s="118" t="s">
        <v>38</v>
      </c>
      <c r="K24" s="118" t="s">
        <v>39</v>
      </c>
      <c r="L24" s="8" t="s">
        <v>7</v>
      </c>
      <c r="M24" s="10" t="s">
        <v>28</v>
      </c>
      <c r="N24" s="11" t="s">
        <v>27</v>
      </c>
      <c r="O24" s="8" t="s">
        <v>8</v>
      </c>
      <c r="P24" s="9" t="s">
        <v>1</v>
      </c>
      <c r="Q24" s="12" t="s">
        <v>9</v>
      </c>
      <c r="R24" s="12" t="s">
        <v>38</v>
      </c>
      <c r="S24" s="112" t="s">
        <v>39</v>
      </c>
    </row>
    <row r="25" spans="1:256" x14ac:dyDescent="0.3">
      <c r="A25" s="109">
        <v>0</v>
      </c>
      <c r="B25" s="58">
        <f>C2</f>
        <v>10000000</v>
      </c>
      <c r="C25" s="149"/>
      <c r="D25" s="7"/>
      <c r="E25" s="149"/>
      <c r="F25" s="149"/>
      <c r="G25" s="110"/>
      <c r="H25" s="123">
        <f>-B25+IF(C2*C9&lt;C10,C10,IF(OR(C11=0,C11="",C11=" "),C2*C9,IF(C2*C9&gt;C11,C11,C2*C9)))+C15+C16</f>
        <v>-10000000</v>
      </c>
      <c r="I25" s="123">
        <f>H25+C18+C16+C15+C12</f>
        <v>-9987400</v>
      </c>
      <c r="J25" s="121">
        <f>-C2+C15+C16+C18+C12</f>
        <v>-9987400</v>
      </c>
      <c r="K25" s="122">
        <f>-C2+C15+C16+C18+C12</f>
        <v>-9987400</v>
      </c>
      <c r="L25" s="110"/>
      <c r="M25" s="110"/>
      <c r="N25" s="110"/>
      <c r="O25" s="110"/>
      <c r="P25" s="110"/>
      <c r="Q25" s="110"/>
      <c r="R25" s="110"/>
    </row>
    <row r="26" spans="1:256" x14ac:dyDescent="0.3">
      <c r="A26" s="111">
        <v>1</v>
      </c>
      <c r="B26" s="58">
        <f>+B25-C26</f>
        <v>9969540</v>
      </c>
      <c r="C26" s="116">
        <f>+F26-D26</f>
        <v>30460</v>
      </c>
      <c r="D26" s="117">
        <f>ROUND(IF(A26&gt;$G$6,B25*$C$4*30/360,0),0)</f>
        <v>25000</v>
      </c>
      <c r="E26" s="116">
        <f>ROUND(IF(A26&gt;$G$6,B25*$C$5*30/360,0),0)</f>
        <v>39779</v>
      </c>
      <c r="F26" s="116">
        <f t="shared" ref="F26:F89" si="0">ROUND(IF(A26&gt;$G$6,(IF(A26&gt;=$C$3,B25+D26,PMT($C$4/12,$C$3-$G$6,-$B$25))),D26),0)</f>
        <v>55460</v>
      </c>
      <c r="G26" s="117">
        <f t="shared" ref="G26:G89" si="1">ROUND(IF(A26&gt;$G$6,0,$B$25*$C$14/360*30),0)</f>
        <v>0</v>
      </c>
      <c r="H26" s="116">
        <f>F26+G26</f>
        <v>55460</v>
      </c>
      <c r="I26" s="116">
        <f t="shared" ref="I26:I89" si="2">IF(A26&lt;=$C$3,H26+$C$17,0)</f>
        <v>55785</v>
      </c>
      <c r="J26" s="119">
        <f t="shared" ref="J26:J89" si="3">ROUND(IF(A26&gt;$G$6,(IF(A26&gt;=$C$3,B25+D26,PMT($L$12/12,$C$3-$G$6,-$B$25))),D26),0)</f>
        <v>60598</v>
      </c>
      <c r="K26" s="119">
        <f t="shared" ref="K26:K89" si="4">ROUND(IF(A26&gt;$G$6,(IF(A26&gt;=$C$3,B25+D26,PMT($L$13/12,$C$3-$G$6,-$B$25))),D26),0)</f>
        <v>65996</v>
      </c>
      <c r="L26" s="110"/>
      <c r="M26" s="110"/>
      <c r="N26" s="110"/>
      <c r="O26" s="110"/>
      <c r="P26" s="110"/>
      <c r="Q26" s="110"/>
      <c r="R26" s="110"/>
    </row>
    <row r="27" spans="1:256" x14ac:dyDescent="0.3">
      <c r="A27" s="109">
        <v>2</v>
      </c>
      <c r="B27" s="58">
        <f t="shared" ref="B27:B89" si="5">B26-C27</f>
        <v>9939004</v>
      </c>
      <c r="C27" s="116">
        <f t="shared" ref="C27:C90" si="6">+F27-D27</f>
        <v>30536</v>
      </c>
      <c r="D27" s="117">
        <f t="shared" ref="D27:D90" si="7">ROUND(IF(A27&gt;$G$6,B26*$C$4*30/360,0),0)</f>
        <v>24924</v>
      </c>
      <c r="E27" s="116">
        <f t="shared" ref="E27:E90" si="8">ROUND(IF(A27&gt;$C$3,0,$B$25*($C$5/12)),0)</f>
        <v>39779</v>
      </c>
      <c r="F27" s="116">
        <f t="shared" si="0"/>
        <v>55460</v>
      </c>
      <c r="G27" s="117">
        <f t="shared" si="1"/>
        <v>0</v>
      </c>
      <c r="H27" s="116">
        <f>F27+G27</f>
        <v>55460</v>
      </c>
      <c r="I27" s="116">
        <f t="shared" si="2"/>
        <v>55785</v>
      </c>
      <c r="J27" s="119">
        <f t="shared" si="3"/>
        <v>60598</v>
      </c>
      <c r="K27" s="119">
        <f t="shared" si="4"/>
        <v>65996</v>
      </c>
      <c r="L27" s="110"/>
      <c r="M27" s="110"/>
      <c r="N27" s="110"/>
      <c r="O27" s="110"/>
      <c r="P27" s="110"/>
      <c r="Q27" s="110"/>
      <c r="R27" s="110"/>
    </row>
    <row r="28" spans="1:256" x14ac:dyDescent="0.3">
      <c r="A28" s="109">
        <v>3</v>
      </c>
      <c r="B28" s="58">
        <f t="shared" si="5"/>
        <v>9908392</v>
      </c>
      <c r="C28" s="116">
        <f t="shared" si="6"/>
        <v>30612</v>
      </c>
      <c r="D28" s="117">
        <f t="shared" si="7"/>
        <v>24848</v>
      </c>
      <c r="E28" s="116">
        <f t="shared" si="8"/>
        <v>39779</v>
      </c>
      <c r="F28" s="116">
        <f t="shared" si="0"/>
        <v>55460</v>
      </c>
      <c r="G28" s="117">
        <f t="shared" si="1"/>
        <v>0</v>
      </c>
      <c r="H28" s="116">
        <f t="shared" ref="H28:H81" si="9">F28+G28</f>
        <v>55460</v>
      </c>
      <c r="I28" s="116">
        <f t="shared" si="2"/>
        <v>55785</v>
      </c>
      <c r="J28" s="119">
        <f t="shared" si="3"/>
        <v>60598</v>
      </c>
      <c r="K28" s="119">
        <f t="shared" si="4"/>
        <v>65996</v>
      </c>
      <c r="L28" s="110"/>
      <c r="M28" s="110"/>
      <c r="N28" s="110"/>
      <c r="O28" s="110"/>
      <c r="P28" s="110"/>
      <c r="Q28" s="110"/>
      <c r="R28" s="110"/>
    </row>
    <row r="29" spans="1:256" x14ac:dyDescent="0.3">
      <c r="A29" s="109">
        <v>4</v>
      </c>
      <c r="B29" s="58">
        <f t="shared" si="5"/>
        <v>9877703</v>
      </c>
      <c r="C29" s="116">
        <f t="shared" si="6"/>
        <v>30689</v>
      </c>
      <c r="D29" s="117">
        <f t="shared" si="7"/>
        <v>24771</v>
      </c>
      <c r="E29" s="116">
        <f t="shared" si="8"/>
        <v>39779</v>
      </c>
      <c r="F29" s="116">
        <f t="shared" si="0"/>
        <v>55460</v>
      </c>
      <c r="G29" s="117">
        <f t="shared" si="1"/>
        <v>0</v>
      </c>
      <c r="H29" s="116">
        <f t="shared" si="9"/>
        <v>55460</v>
      </c>
      <c r="I29" s="116">
        <f t="shared" si="2"/>
        <v>55785</v>
      </c>
      <c r="J29" s="119">
        <f t="shared" si="3"/>
        <v>60598</v>
      </c>
      <c r="K29" s="119">
        <f t="shared" si="4"/>
        <v>65996</v>
      </c>
      <c r="L29" s="110"/>
      <c r="M29" s="110"/>
      <c r="N29" s="110"/>
      <c r="O29" s="110"/>
      <c r="P29" s="110"/>
      <c r="Q29" s="110"/>
      <c r="R29" s="110"/>
    </row>
    <row r="30" spans="1:256" x14ac:dyDescent="0.3">
      <c r="A30" s="109">
        <v>5</v>
      </c>
      <c r="B30" s="58">
        <f t="shared" si="5"/>
        <v>9846937</v>
      </c>
      <c r="C30" s="116">
        <f t="shared" si="6"/>
        <v>30766</v>
      </c>
      <c r="D30" s="117">
        <f t="shared" si="7"/>
        <v>24694</v>
      </c>
      <c r="E30" s="116">
        <f t="shared" si="8"/>
        <v>39779</v>
      </c>
      <c r="F30" s="116">
        <f t="shared" si="0"/>
        <v>55460</v>
      </c>
      <c r="G30" s="117">
        <f t="shared" si="1"/>
        <v>0</v>
      </c>
      <c r="H30" s="116">
        <f t="shared" si="9"/>
        <v>55460</v>
      </c>
      <c r="I30" s="116">
        <f t="shared" si="2"/>
        <v>55785</v>
      </c>
      <c r="J30" s="119">
        <f t="shared" si="3"/>
        <v>60598</v>
      </c>
      <c r="K30" s="119">
        <f t="shared" si="4"/>
        <v>65996</v>
      </c>
      <c r="L30" s="110"/>
      <c r="M30" s="110"/>
      <c r="N30" s="110"/>
      <c r="O30" s="110"/>
      <c r="P30" s="110"/>
      <c r="Q30" s="110"/>
      <c r="R30" s="110"/>
    </row>
    <row r="31" spans="1:256" x14ac:dyDescent="0.3">
      <c r="A31" s="109">
        <v>6</v>
      </c>
      <c r="B31" s="58">
        <f t="shared" si="5"/>
        <v>9816094</v>
      </c>
      <c r="C31" s="116">
        <f t="shared" si="6"/>
        <v>30843</v>
      </c>
      <c r="D31" s="117">
        <f t="shared" si="7"/>
        <v>24617</v>
      </c>
      <c r="E31" s="116">
        <f t="shared" si="8"/>
        <v>39779</v>
      </c>
      <c r="F31" s="116">
        <f t="shared" si="0"/>
        <v>55460</v>
      </c>
      <c r="G31" s="117">
        <f t="shared" si="1"/>
        <v>0</v>
      </c>
      <c r="H31" s="116">
        <f t="shared" si="9"/>
        <v>55460</v>
      </c>
      <c r="I31" s="116">
        <f t="shared" si="2"/>
        <v>55785</v>
      </c>
      <c r="J31" s="119">
        <f t="shared" si="3"/>
        <v>60598</v>
      </c>
      <c r="K31" s="119">
        <f t="shared" si="4"/>
        <v>65996</v>
      </c>
      <c r="L31" s="110"/>
      <c r="M31" s="110"/>
      <c r="N31" s="110"/>
      <c r="O31" s="110"/>
      <c r="P31" s="110"/>
      <c r="Q31" s="110"/>
      <c r="R31" s="110"/>
    </row>
    <row r="32" spans="1:256" x14ac:dyDescent="0.3">
      <c r="A32" s="109">
        <v>7</v>
      </c>
      <c r="B32" s="58">
        <f t="shared" si="5"/>
        <v>9785174</v>
      </c>
      <c r="C32" s="116">
        <f t="shared" si="6"/>
        <v>30920</v>
      </c>
      <c r="D32" s="117">
        <f t="shared" si="7"/>
        <v>24540</v>
      </c>
      <c r="E32" s="116">
        <f t="shared" si="8"/>
        <v>39779</v>
      </c>
      <c r="F32" s="116">
        <f t="shared" si="0"/>
        <v>55460</v>
      </c>
      <c r="G32" s="117">
        <f t="shared" si="1"/>
        <v>0</v>
      </c>
      <c r="H32" s="116">
        <f t="shared" si="9"/>
        <v>55460</v>
      </c>
      <c r="I32" s="116">
        <f t="shared" si="2"/>
        <v>55785</v>
      </c>
      <c r="J32" s="119">
        <f t="shared" si="3"/>
        <v>60598</v>
      </c>
      <c r="K32" s="119">
        <f t="shared" si="4"/>
        <v>65996</v>
      </c>
      <c r="L32" s="110"/>
      <c r="M32" s="110"/>
      <c r="N32" s="110"/>
      <c r="O32" s="110"/>
      <c r="P32" s="110"/>
      <c r="Q32" s="110"/>
      <c r="R32" s="110"/>
    </row>
    <row r="33" spans="1:23" x14ac:dyDescent="0.3">
      <c r="A33" s="109">
        <v>8</v>
      </c>
      <c r="B33" s="58">
        <f t="shared" si="5"/>
        <v>9754177</v>
      </c>
      <c r="C33" s="116">
        <f t="shared" si="6"/>
        <v>30997</v>
      </c>
      <c r="D33" s="117">
        <f t="shared" si="7"/>
        <v>24463</v>
      </c>
      <c r="E33" s="116">
        <f t="shared" si="8"/>
        <v>39779</v>
      </c>
      <c r="F33" s="116">
        <f t="shared" si="0"/>
        <v>55460</v>
      </c>
      <c r="G33" s="117">
        <f t="shared" si="1"/>
        <v>0</v>
      </c>
      <c r="H33" s="116">
        <f t="shared" si="9"/>
        <v>55460</v>
      </c>
      <c r="I33" s="116">
        <f t="shared" si="2"/>
        <v>55785</v>
      </c>
      <c r="J33" s="119">
        <f t="shared" si="3"/>
        <v>60598</v>
      </c>
      <c r="K33" s="119">
        <f t="shared" si="4"/>
        <v>65996</v>
      </c>
      <c r="L33" s="110"/>
      <c r="M33" s="110"/>
      <c r="N33" s="110"/>
      <c r="O33" s="110"/>
      <c r="P33" s="110"/>
      <c r="Q33" s="110"/>
      <c r="R33" s="110"/>
    </row>
    <row r="34" spans="1:23" x14ac:dyDescent="0.3">
      <c r="A34" s="109">
        <v>9</v>
      </c>
      <c r="B34" s="58">
        <f t="shared" si="5"/>
        <v>9723102</v>
      </c>
      <c r="C34" s="116">
        <f t="shared" si="6"/>
        <v>31075</v>
      </c>
      <c r="D34" s="117">
        <f t="shared" si="7"/>
        <v>24385</v>
      </c>
      <c r="E34" s="116">
        <f t="shared" si="8"/>
        <v>39779</v>
      </c>
      <c r="F34" s="116">
        <f t="shared" si="0"/>
        <v>55460</v>
      </c>
      <c r="G34" s="117">
        <f t="shared" si="1"/>
        <v>0</v>
      </c>
      <c r="H34" s="116">
        <f t="shared" si="9"/>
        <v>55460</v>
      </c>
      <c r="I34" s="116">
        <f t="shared" si="2"/>
        <v>55785</v>
      </c>
      <c r="J34" s="119">
        <f t="shared" si="3"/>
        <v>60598</v>
      </c>
      <c r="K34" s="119">
        <f t="shared" si="4"/>
        <v>65996</v>
      </c>
      <c r="L34" s="110"/>
      <c r="M34" s="110"/>
      <c r="N34" s="110"/>
      <c r="O34" s="110"/>
      <c r="P34" s="110"/>
      <c r="Q34" s="110"/>
      <c r="R34" s="110"/>
    </row>
    <row r="35" spans="1:23" x14ac:dyDescent="0.3">
      <c r="A35" s="109">
        <v>10</v>
      </c>
      <c r="B35" s="58">
        <f t="shared" si="5"/>
        <v>9691950</v>
      </c>
      <c r="C35" s="116">
        <f t="shared" si="6"/>
        <v>31152</v>
      </c>
      <c r="D35" s="117">
        <f t="shared" si="7"/>
        <v>24308</v>
      </c>
      <c r="E35" s="116">
        <f t="shared" si="8"/>
        <v>39779</v>
      </c>
      <c r="F35" s="116">
        <f t="shared" si="0"/>
        <v>55460</v>
      </c>
      <c r="G35" s="117">
        <f t="shared" si="1"/>
        <v>0</v>
      </c>
      <c r="H35" s="116">
        <f t="shared" si="9"/>
        <v>55460</v>
      </c>
      <c r="I35" s="116">
        <f t="shared" si="2"/>
        <v>55785</v>
      </c>
      <c r="J35" s="119">
        <f t="shared" si="3"/>
        <v>60598</v>
      </c>
      <c r="K35" s="119">
        <f t="shared" si="4"/>
        <v>65996</v>
      </c>
      <c r="L35" s="110"/>
      <c r="M35" s="110"/>
      <c r="N35" s="110"/>
      <c r="O35" s="110"/>
      <c r="P35" s="110"/>
      <c r="Q35" s="110"/>
      <c r="R35" s="110"/>
    </row>
    <row r="36" spans="1:23" x14ac:dyDescent="0.3">
      <c r="A36" s="109">
        <v>11</v>
      </c>
      <c r="B36" s="58">
        <f t="shared" si="5"/>
        <v>9660720</v>
      </c>
      <c r="C36" s="116">
        <f t="shared" si="6"/>
        <v>31230</v>
      </c>
      <c r="D36" s="117">
        <f t="shared" si="7"/>
        <v>24230</v>
      </c>
      <c r="E36" s="116">
        <f t="shared" si="8"/>
        <v>39779</v>
      </c>
      <c r="F36" s="116">
        <f t="shared" si="0"/>
        <v>55460</v>
      </c>
      <c r="G36" s="117">
        <f t="shared" si="1"/>
        <v>0</v>
      </c>
      <c r="H36" s="116">
        <f t="shared" si="9"/>
        <v>55460</v>
      </c>
      <c r="I36" s="116">
        <f t="shared" si="2"/>
        <v>55785</v>
      </c>
      <c r="J36" s="119">
        <f t="shared" si="3"/>
        <v>60598</v>
      </c>
      <c r="K36" s="119">
        <f t="shared" si="4"/>
        <v>65996</v>
      </c>
      <c r="L36" s="110"/>
      <c r="M36" s="110"/>
      <c r="N36" s="110"/>
      <c r="O36" s="110"/>
      <c r="P36" s="110"/>
      <c r="Q36" s="110"/>
      <c r="R36" s="110"/>
    </row>
    <row r="37" spans="1:23" x14ac:dyDescent="0.3">
      <c r="A37" s="109">
        <v>12</v>
      </c>
      <c r="B37" s="58">
        <f t="shared" si="5"/>
        <v>9629412</v>
      </c>
      <c r="C37" s="116">
        <f t="shared" si="6"/>
        <v>31308</v>
      </c>
      <c r="D37" s="117">
        <f t="shared" si="7"/>
        <v>24152</v>
      </c>
      <c r="E37" s="116">
        <f t="shared" si="8"/>
        <v>39779</v>
      </c>
      <c r="F37" s="116">
        <f t="shared" si="0"/>
        <v>55460</v>
      </c>
      <c r="G37" s="117">
        <f t="shared" si="1"/>
        <v>0</v>
      </c>
      <c r="H37" s="116">
        <f t="shared" si="9"/>
        <v>55460</v>
      </c>
      <c r="I37" s="116">
        <f t="shared" si="2"/>
        <v>55785</v>
      </c>
      <c r="J37" s="119">
        <f t="shared" si="3"/>
        <v>60598</v>
      </c>
      <c r="K37" s="119">
        <f t="shared" si="4"/>
        <v>65996</v>
      </c>
      <c r="L37" s="58">
        <f t="shared" ref="L37:Q37" si="10">SUM(C26:C37)</f>
        <v>370588</v>
      </c>
      <c r="M37" s="58">
        <f t="shared" si="10"/>
        <v>294932</v>
      </c>
      <c r="N37" s="58">
        <f t="shared" si="10"/>
        <v>477348</v>
      </c>
      <c r="O37" s="58">
        <f t="shared" si="10"/>
        <v>665520</v>
      </c>
      <c r="P37" s="58">
        <f t="shared" si="10"/>
        <v>0</v>
      </c>
      <c r="Q37" s="58">
        <f t="shared" si="10"/>
        <v>665520</v>
      </c>
      <c r="R37" s="58">
        <f>SUM(J26:J37)</f>
        <v>727176</v>
      </c>
      <c r="S37" s="29">
        <f>SUM(K26:K37)</f>
        <v>791952</v>
      </c>
      <c r="T37" s="29"/>
      <c r="U37" s="29"/>
      <c r="V37" s="29"/>
      <c r="W37" s="29"/>
    </row>
    <row r="38" spans="1:23" x14ac:dyDescent="0.3">
      <c r="A38" s="109">
        <v>13</v>
      </c>
      <c r="B38" s="58">
        <f t="shared" si="5"/>
        <v>9598026</v>
      </c>
      <c r="C38" s="116">
        <f t="shared" si="6"/>
        <v>31386</v>
      </c>
      <c r="D38" s="117">
        <f t="shared" si="7"/>
        <v>24074</v>
      </c>
      <c r="E38" s="116">
        <f t="shared" si="8"/>
        <v>39779</v>
      </c>
      <c r="F38" s="116">
        <f t="shared" si="0"/>
        <v>55460</v>
      </c>
      <c r="G38" s="117">
        <f t="shared" si="1"/>
        <v>0</v>
      </c>
      <c r="H38" s="116">
        <f t="shared" si="9"/>
        <v>55460</v>
      </c>
      <c r="I38" s="116">
        <f t="shared" si="2"/>
        <v>55785</v>
      </c>
      <c r="J38" s="119">
        <f t="shared" si="3"/>
        <v>60598</v>
      </c>
      <c r="K38" s="119">
        <f t="shared" si="4"/>
        <v>65996</v>
      </c>
      <c r="L38" s="110"/>
      <c r="M38" s="110"/>
      <c r="N38" s="110"/>
      <c r="O38" s="110"/>
      <c r="P38" s="110"/>
      <c r="Q38" s="110"/>
      <c r="R38" s="110"/>
    </row>
    <row r="39" spans="1:23" x14ac:dyDescent="0.3">
      <c r="A39" s="109">
        <v>14</v>
      </c>
      <c r="B39" s="58">
        <f t="shared" si="5"/>
        <v>9566561</v>
      </c>
      <c r="C39" s="116">
        <f t="shared" si="6"/>
        <v>31465</v>
      </c>
      <c r="D39" s="117">
        <f t="shared" si="7"/>
        <v>23995</v>
      </c>
      <c r="E39" s="116">
        <f t="shared" si="8"/>
        <v>39779</v>
      </c>
      <c r="F39" s="116">
        <f t="shared" si="0"/>
        <v>55460</v>
      </c>
      <c r="G39" s="117">
        <f t="shared" si="1"/>
        <v>0</v>
      </c>
      <c r="H39" s="116">
        <f t="shared" si="9"/>
        <v>55460</v>
      </c>
      <c r="I39" s="116">
        <f t="shared" si="2"/>
        <v>55785</v>
      </c>
      <c r="J39" s="119">
        <f t="shared" si="3"/>
        <v>60598</v>
      </c>
      <c r="K39" s="119">
        <f t="shared" si="4"/>
        <v>65996</v>
      </c>
      <c r="L39" s="110"/>
      <c r="M39" s="110"/>
      <c r="N39" s="110"/>
      <c r="O39" s="110"/>
      <c r="P39" s="110"/>
      <c r="Q39" s="110"/>
      <c r="R39" s="110"/>
    </row>
    <row r="40" spans="1:23" x14ac:dyDescent="0.3">
      <c r="A40" s="109">
        <v>15</v>
      </c>
      <c r="B40" s="58">
        <f t="shared" si="5"/>
        <v>9535017</v>
      </c>
      <c r="C40" s="116">
        <f t="shared" si="6"/>
        <v>31544</v>
      </c>
      <c r="D40" s="117">
        <f t="shared" si="7"/>
        <v>23916</v>
      </c>
      <c r="E40" s="116">
        <f t="shared" si="8"/>
        <v>39779</v>
      </c>
      <c r="F40" s="116">
        <f t="shared" si="0"/>
        <v>55460</v>
      </c>
      <c r="G40" s="117">
        <f t="shared" si="1"/>
        <v>0</v>
      </c>
      <c r="H40" s="116">
        <f t="shared" si="9"/>
        <v>55460</v>
      </c>
      <c r="I40" s="116">
        <f t="shared" si="2"/>
        <v>55785</v>
      </c>
      <c r="J40" s="119">
        <f t="shared" si="3"/>
        <v>60598</v>
      </c>
      <c r="K40" s="119">
        <f t="shared" si="4"/>
        <v>65996</v>
      </c>
      <c r="L40" s="110"/>
      <c r="M40" s="110"/>
      <c r="N40" s="110"/>
      <c r="O40" s="110"/>
      <c r="P40" s="110"/>
      <c r="Q40" s="110"/>
      <c r="R40" s="110"/>
    </row>
    <row r="41" spans="1:23" x14ac:dyDescent="0.3">
      <c r="A41" s="109">
        <v>16</v>
      </c>
      <c r="B41" s="58">
        <f t="shared" si="5"/>
        <v>9503395</v>
      </c>
      <c r="C41" s="116">
        <f t="shared" si="6"/>
        <v>31622</v>
      </c>
      <c r="D41" s="117">
        <f t="shared" si="7"/>
        <v>23838</v>
      </c>
      <c r="E41" s="116">
        <f t="shared" si="8"/>
        <v>39779</v>
      </c>
      <c r="F41" s="116">
        <f t="shared" si="0"/>
        <v>55460</v>
      </c>
      <c r="G41" s="117">
        <f t="shared" si="1"/>
        <v>0</v>
      </c>
      <c r="H41" s="116">
        <f t="shared" si="9"/>
        <v>55460</v>
      </c>
      <c r="I41" s="116">
        <f t="shared" si="2"/>
        <v>55785</v>
      </c>
      <c r="J41" s="119">
        <f t="shared" si="3"/>
        <v>60598</v>
      </c>
      <c r="K41" s="119">
        <f t="shared" si="4"/>
        <v>65996</v>
      </c>
      <c r="L41" s="110"/>
      <c r="M41" s="110"/>
      <c r="N41" s="110"/>
      <c r="O41" s="110"/>
      <c r="P41" s="110"/>
      <c r="Q41" s="110"/>
      <c r="R41" s="110"/>
    </row>
    <row r="42" spans="1:23" x14ac:dyDescent="0.3">
      <c r="A42" s="109">
        <v>17</v>
      </c>
      <c r="B42" s="58">
        <f t="shared" si="5"/>
        <v>9471693</v>
      </c>
      <c r="C42" s="116">
        <f t="shared" si="6"/>
        <v>31702</v>
      </c>
      <c r="D42" s="117">
        <f t="shared" si="7"/>
        <v>23758</v>
      </c>
      <c r="E42" s="116">
        <f t="shared" si="8"/>
        <v>39779</v>
      </c>
      <c r="F42" s="116">
        <f t="shared" si="0"/>
        <v>55460</v>
      </c>
      <c r="G42" s="117">
        <f t="shared" si="1"/>
        <v>0</v>
      </c>
      <c r="H42" s="116">
        <f t="shared" si="9"/>
        <v>55460</v>
      </c>
      <c r="I42" s="116">
        <f t="shared" si="2"/>
        <v>55785</v>
      </c>
      <c r="J42" s="119">
        <f t="shared" si="3"/>
        <v>60598</v>
      </c>
      <c r="K42" s="119">
        <f t="shared" si="4"/>
        <v>65996</v>
      </c>
      <c r="L42" s="110"/>
      <c r="M42" s="110"/>
      <c r="N42" s="110"/>
      <c r="O42" s="110"/>
      <c r="P42" s="110"/>
      <c r="Q42" s="110"/>
      <c r="R42" s="110"/>
    </row>
    <row r="43" spans="1:23" x14ac:dyDescent="0.3">
      <c r="A43" s="109">
        <v>18</v>
      </c>
      <c r="B43" s="58">
        <f t="shared" si="5"/>
        <v>9439912</v>
      </c>
      <c r="C43" s="116">
        <f t="shared" si="6"/>
        <v>31781</v>
      </c>
      <c r="D43" s="117">
        <f t="shared" si="7"/>
        <v>23679</v>
      </c>
      <c r="E43" s="116">
        <f t="shared" si="8"/>
        <v>39779</v>
      </c>
      <c r="F43" s="116">
        <f t="shared" si="0"/>
        <v>55460</v>
      </c>
      <c r="G43" s="117">
        <f t="shared" si="1"/>
        <v>0</v>
      </c>
      <c r="H43" s="116">
        <f t="shared" si="9"/>
        <v>55460</v>
      </c>
      <c r="I43" s="116">
        <f t="shared" si="2"/>
        <v>55785</v>
      </c>
      <c r="J43" s="119">
        <f t="shared" si="3"/>
        <v>60598</v>
      </c>
      <c r="K43" s="119">
        <f t="shared" si="4"/>
        <v>65996</v>
      </c>
      <c r="L43" s="110"/>
      <c r="M43" s="110"/>
      <c r="N43" s="110"/>
      <c r="O43" s="110"/>
      <c r="P43" s="110"/>
      <c r="Q43" s="110"/>
      <c r="R43" s="110"/>
    </row>
    <row r="44" spans="1:23" x14ac:dyDescent="0.3">
      <c r="A44" s="109">
        <v>19</v>
      </c>
      <c r="B44" s="58">
        <f t="shared" si="5"/>
        <v>9408052</v>
      </c>
      <c r="C44" s="116">
        <f t="shared" si="6"/>
        <v>31860</v>
      </c>
      <c r="D44" s="117">
        <f t="shared" si="7"/>
        <v>23600</v>
      </c>
      <c r="E44" s="116">
        <f t="shared" si="8"/>
        <v>39779</v>
      </c>
      <c r="F44" s="116">
        <f t="shared" si="0"/>
        <v>55460</v>
      </c>
      <c r="G44" s="117">
        <f t="shared" si="1"/>
        <v>0</v>
      </c>
      <c r="H44" s="116">
        <f t="shared" si="9"/>
        <v>55460</v>
      </c>
      <c r="I44" s="116">
        <f t="shared" si="2"/>
        <v>55785</v>
      </c>
      <c r="J44" s="119">
        <f t="shared" si="3"/>
        <v>60598</v>
      </c>
      <c r="K44" s="119">
        <f t="shared" si="4"/>
        <v>65996</v>
      </c>
      <c r="L44" s="110"/>
      <c r="M44" s="110"/>
      <c r="N44" s="110"/>
      <c r="O44" s="110"/>
      <c r="P44" s="110"/>
      <c r="Q44" s="110"/>
      <c r="R44" s="110"/>
    </row>
    <row r="45" spans="1:23" x14ac:dyDescent="0.3">
      <c r="A45" s="109">
        <v>20</v>
      </c>
      <c r="B45" s="58">
        <f t="shared" si="5"/>
        <v>9376112</v>
      </c>
      <c r="C45" s="116">
        <f t="shared" si="6"/>
        <v>31940</v>
      </c>
      <c r="D45" s="117">
        <f t="shared" si="7"/>
        <v>23520</v>
      </c>
      <c r="E45" s="116">
        <f t="shared" si="8"/>
        <v>39779</v>
      </c>
      <c r="F45" s="116">
        <f t="shared" si="0"/>
        <v>55460</v>
      </c>
      <c r="G45" s="117">
        <f t="shared" si="1"/>
        <v>0</v>
      </c>
      <c r="H45" s="116">
        <f t="shared" si="9"/>
        <v>55460</v>
      </c>
      <c r="I45" s="116">
        <f t="shared" si="2"/>
        <v>55785</v>
      </c>
      <c r="J45" s="119">
        <f t="shared" si="3"/>
        <v>60598</v>
      </c>
      <c r="K45" s="119">
        <f t="shared" si="4"/>
        <v>65996</v>
      </c>
      <c r="L45" s="110"/>
      <c r="M45" s="110"/>
      <c r="N45" s="110"/>
      <c r="O45" s="110"/>
      <c r="P45" s="110"/>
      <c r="Q45" s="110"/>
      <c r="R45" s="110"/>
    </row>
    <row r="46" spans="1:23" x14ac:dyDescent="0.3">
      <c r="A46" s="109">
        <v>21</v>
      </c>
      <c r="B46" s="58">
        <f t="shared" si="5"/>
        <v>9344092</v>
      </c>
      <c r="C46" s="116">
        <f t="shared" si="6"/>
        <v>32020</v>
      </c>
      <c r="D46" s="117">
        <f t="shared" si="7"/>
        <v>23440</v>
      </c>
      <c r="E46" s="116">
        <f t="shared" si="8"/>
        <v>39779</v>
      </c>
      <c r="F46" s="116">
        <f t="shared" si="0"/>
        <v>55460</v>
      </c>
      <c r="G46" s="117">
        <f t="shared" si="1"/>
        <v>0</v>
      </c>
      <c r="H46" s="116">
        <f t="shared" si="9"/>
        <v>55460</v>
      </c>
      <c r="I46" s="116">
        <f t="shared" si="2"/>
        <v>55785</v>
      </c>
      <c r="J46" s="119">
        <f t="shared" si="3"/>
        <v>60598</v>
      </c>
      <c r="K46" s="119">
        <f t="shared" si="4"/>
        <v>65996</v>
      </c>
      <c r="L46" s="110"/>
      <c r="M46" s="110"/>
      <c r="N46" s="110"/>
      <c r="O46" s="110"/>
      <c r="P46" s="110"/>
      <c r="Q46" s="110"/>
      <c r="R46" s="110"/>
    </row>
    <row r="47" spans="1:23" x14ac:dyDescent="0.3">
      <c r="A47" s="109">
        <v>22</v>
      </c>
      <c r="B47" s="58">
        <f t="shared" si="5"/>
        <v>9311992</v>
      </c>
      <c r="C47" s="116">
        <f t="shared" si="6"/>
        <v>32100</v>
      </c>
      <c r="D47" s="117">
        <f t="shared" si="7"/>
        <v>23360</v>
      </c>
      <c r="E47" s="116">
        <f t="shared" si="8"/>
        <v>39779</v>
      </c>
      <c r="F47" s="116">
        <f t="shared" si="0"/>
        <v>55460</v>
      </c>
      <c r="G47" s="117">
        <f t="shared" si="1"/>
        <v>0</v>
      </c>
      <c r="H47" s="116">
        <f t="shared" si="9"/>
        <v>55460</v>
      </c>
      <c r="I47" s="116">
        <f t="shared" si="2"/>
        <v>55785</v>
      </c>
      <c r="J47" s="119">
        <f t="shared" si="3"/>
        <v>60598</v>
      </c>
      <c r="K47" s="119">
        <f t="shared" si="4"/>
        <v>65996</v>
      </c>
      <c r="L47" s="110"/>
      <c r="M47" s="110"/>
      <c r="N47" s="110"/>
      <c r="O47" s="110"/>
      <c r="P47" s="110"/>
      <c r="Q47" s="110"/>
      <c r="R47" s="110"/>
    </row>
    <row r="48" spans="1:23" x14ac:dyDescent="0.3">
      <c r="A48" s="109">
        <v>23</v>
      </c>
      <c r="B48" s="58">
        <f t="shared" si="5"/>
        <v>9279812</v>
      </c>
      <c r="C48" s="116">
        <f t="shared" si="6"/>
        <v>32180</v>
      </c>
      <c r="D48" s="117">
        <f t="shared" si="7"/>
        <v>23280</v>
      </c>
      <c r="E48" s="116">
        <f t="shared" si="8"/>
        <v>39779</v>
      </c>
      <c r="F48" s="116">
        <f t="shared" si="0"/>
        <v>55460</v>
      </c>
      <c r="G48" s="117">
        <f t="shared" si="1"/>
        <v>0</v>
      </c>
      <c r="H48" s="116">
        <f t="shared" si="9"/>
        <v>55460</v>
      </c>
      <c r="I48" s="116">
        <f t="shared" si="2"/>
        <v>55785</v>
      </c>
      <c r="J48" s="119">
        <f t="shared" si="3"/>
        <v>60598</v>
      </c>
      <c r="K48" s="119">
        <f t="shared" si="4"/>
        <v>65996</v>
      </c>
      <c r="L48" s="110"/>
      <c r="M48" s="110"/>
      <c r="N48" s="110"/>
      <c r="O48" s="110"/>
      <c r="P48" s="110"/>
      <c r="Q48" s="110"/>
      <c r="R48" s="110"/>
    </row>
    <row r="49" spans="1:23" x14ac:dyDescent="0.3">
      <c r="A49" s="109">
        <v>24</v>
      </c>
      <c r="B49" s="58">
        <f t="shared" si="5"/>
        <v>9247552</v>
      </c>
      <c r="C49" s="116">
        <f t="shared" si="6"/>
        <v>32260</v>
      </c>
      <c r="D49" s="117">
        <f t="shared" si="7"/>
        <v>23200</v>
      </c>
      <c r="E49" s="116">
        <f t="shared" si="8"/>
        <v>39779</v>
      </c>
      <c r="F49" s="116">
        <f t="shared" si="0"/>
        <v>55460</v>
      </c>
      <c r="G49" s="117">
        <f t="shared" si="1"/>
        <v>0</v>
      </c>
      <c r="H49" s="116">
        <f t="shared" si="9"/>
        <v>55460</v>
      </c>
      <c r="I49" s="116">
        <f t="shared" si="2"/>
        <v>55785</v>
      </c>
      <c r="J49" s="119">
        <f t="shared" si="3"/>
        <v>60598</v>
      </c>
      <c r="K49" s="119">
        <f t="shared" si="4"/>
        <v>65996</v>
      </c>
      <c r="L49" s="58">
        <f t="shared" ref="L49:Q49" si="11">SUM(C38:C49)</f>
        <v>381860</v>
      </c>
      <c r="M49" s="58">
        <f t="shared" si="11"/>
        <v>283660</v>
      </c>
      <c r="N49" s="58">
        <f t="shared" si="11"/>
        <v>477348</v>
      </c>
      <c r="O49" s="58">
        <f t="shared" si="11"/>
        <v>665520</v>
      </c>
      <c r="P49" s="58">
        <f t="shared" si="11"/>
        <v>0</v>
      </c>
      <c r="Q49" s="58">
        <f t="shared" si="11"/>
        <v>665520</v>
      </c>
      <c r="R49" s="58">
        <f>SUM(J38:J49)</f>
        <v>727176</v>
      </c>
      <c r="S49" s="29">
        <f>SUM(K38:K49)</f>
        <v>791952</v>
      </c>
      <c r="T49" s="29"/>
      <c r="U49" s="29"/>
      <c r="V49" s="29"/>
      <c r="W49" s="29"/>
    </row>
    <row r="50" spans="1:23" x14ac:dyDescent="0.3">
      <c r="A50" s="109">
        <v>25</v>
      </c>
      <c r="B50" s="58">
        <f t="shared" si="5"/>
        <v>9215211</v>
      </c>
      <c r="C50" s="116">
        <f t="shared" si="6"/>
        <v>32341</v>
      </c>
      <c r="D50" s="117">
        <f t="shared" si="7"/>
        <v>23119</v>
      </c>
      <c r="E50" s="116">
        <f t="shared" si="8"/>
        <v>39779</v>
      </c>
      <c r="F50" s="116">
        <f t="shared" si="0"/>
        <v>55460</v>
      </c>
      <c r="G50" s="117">
        <f t="shared" si="1"/>
        <v>0</v>
      </c>
      <c r="H50" s="116">
        <f t="shared" si="9"/>
        <v>55460</v>
      </c>
      <c r="I50" s="116">
        <f t="shared" si="2"/>
        <v>55785</v>
      </c>
      <c r="J50" s="119">
        <f t="shared" si="3"/>
        <v>60598</v>
      </c>
      <c r="K50" s="119">
        <f t="shared" si="4"/>
        <v>65996</v>
      </c>
      <c r="L50" s="110"/>
      <c r="M50" s="110"/>
      <c r="N50" s="110"/>
      <c r="O50" s="110"/>
      <c r="P50" s="110"/>
      <c r="Q50" s="110"/>
      <c r="R50" s="110"/>
    </row>
    <row r="51" spans="1:23" x14ac:dyDescent="0.3">
      <c r="A51" s="109">
        <v>26</v>
      </c>
      <c r="B51" s="58">
        <f t="shared" si="5"/>
        <v>9182789</v>
      </c>
      <c r="C51" s="116">
        <f t="shared" si="6"/>
        <v>32422</v>
      </c>
      <c r="D51" s="117">
        <f t="shared" si="7"/>
        <v>23038</v>
      </c>
      <c r="E51" s="116">
        <f t="shared" si="8"/>
        <v>39779</v>
      </c>
      <c r="F51" s="116">
        <f t="shared" si="0"/>
        <v>55460</v>
      </c>
      <c r="G51" s="117">
        <f t="shared" si="1"/>
        <v>0</v>
      </c>
      <c r="H51" s="116">
        <f t="shared" si="9"/>
        <v>55460</v>
      </c>
      <c r="I51" s="116">
        <f t="shared" si="2"/>
        <v>55785</v>
      </c>
      <c r="J51" s="119">
        <f t="shared" si="3"/>
        <v>60598</v>
      </c>
      <c r="K51" s="119">
        <f t="shared" si="4"/>
        <v>65996</v>
      </c>
      <c r="L51" s="110"/>
      <c r="M51" s="110"/>
      <c r="N51" s="110"/>
      <c r="O51" s="110"/>
      <c r="P51" s="110"/>
      <c r="Q51" s="110"/>
      <c r="R51" s="110"/>
    </row>
    <row r="52" spans="1:23" x14ac:dyDescent="0.3">
      <c r="A52" s="109">
        <v>27</v>
      </c>
      <c r="B52" s="58">
        <f t="shared" si="5"/>
        <v>9150286</v>
      </c>
      <c r="C52" s="116">
        <f t="shared" si="6"/>
        <v>32503</v>
      </c>
      <c r="D52" s="117">
        <f t="shared" si="7"/>
        <v>22957</v>
      </c>
      <c r="E52" s="116">
        <f t="shared" si="8"/>
        <v>39779</v>
      </c>
      <c r="F52" s="116">
        <f t="shared" si="0"/>
        <v>55460</v>
      </c>
      <c r="G52" s="117">
        <f t="shared" si="1"/>
        <v>0</v>
      </c>
      <c r="H52" s="116">
        <f t="shared" si="9"/>
        <v>55460</v>
      </c>
      <c r="I52" s="116">
        <f t="shared" si="2"/>
        <v>55785</v>
      </c>
      <c r="J52" s="119">
        <f t="shared" si="3"/>
        <v>60598</v>
      </c>
      <c r="K52" s="119">
        <f t="shared" si="4"/>
        <v>65996</v>
      </c>
      <c r="L52" s="110"/>
      <c r="M52" s="110"/>
      <c r="N52" s="110"/>
      <c r="O52" s="110"/>
      <c r="P52" s="110"/>
      <c r="Q52" s="110"/>
      <c r="R52" s="110"/>
    </row>
    <row r="53" spans="1:23" x14ac:dyDescent="0.3">
      <c r="A53" s="109">
        <v>28</v>
      </c>
      <c r="B53" s="58">
        <f t="shared" si="5"/>
        <v>9117702</v>
      </c>
      <c r="C53" s="116">
        <f t="shared" si="6"/>
        <v>32584</v>
      </c>
      <c r="D53" s="117">
        <f t="shared" si="7"/>
        <v>22876</v>
      </c>
      <c r="E53" s="116">
        <f t="shared" si="8"/>
        <v>39779</v>
      </c>
      <c r="F53" s="116">
        <f t="shared" si="0"/>
        <v>55460</v>
      </c>
      <c r="G53" s="117">
        <f t="shared" si="1"/>
        <v>0</v>
      </c>
      <c r="H53" s="116">
        <f t="shared" si="9"/>
        <v>55460</v>
      </c>
      <c r="I53" s="116">
        <f t="shared" si="2"/>
        <v>55785</v>
      </c>
      <c r="J53" s="119">
        <f t="shared" si="3"/>
        <v>60598</v>
      </c>
      <c r="K53" s="119">
        <f t="shared" si="4"/>
        <v>65996</v>
      </c>
      <c r="L53" s="110"/>
      <c r="M53" s="110"/>
      <c r="N53" s="110"/>
      <c r="O53" s="110"/>
      <c r="P53" s="110"/>
      <c r="Q53" s="110"/>
      <c r="R53" s="110"/>
    </row>
    <row r="54" spans="1:23" x14ac:dyDescent="0.3">
      <c r="A54" s="109">
        <v>29</v>
      </c>
      <c r="B54" s="58">
        <f t="shared" si="5"/>
        <v>9085036</v>
      </c>
      <c r="C54" s="116">
        <f t="shared" si="6"/>
        <v>32666</v>
      </c>
      <c r="D54" s="117">
        <f t="shared" si="7"/>
        <v>22794</v>
      </c>
      <c r="E54" s="116">
        <f t="shared" si="8"/>
        <v>39779</v>
      </c>
      <c r="F54" s="116">
        <f t="shared" si="0"/>
        <v>55460</v>
      </c>
      <c r="G54" s="117">
        <f t="shared" si="1"/>
        <v>0</v>
      </c>
      <c r="H54" s="116">
        <f t="shared" si="9"/>
        <v>55460</v>
      </c>
      <c r="I54" s="116">
        <f t="shared" si="2"/>
        <v>55785</v>
      </c>
      <c r="J54" s="119">
        <f t="shared" si="3"/>
        <v>60598</v>
      </c>
      <c r="K54" s="119">
        <f t="shared" si="4"/>
        <v>65996</v>
      </c>
      <c r="L54" s="110"/>
      <c r="M54" s="110"/>
      <c r="N54" s="110"/>
      <c r="O54" s="110"/>
      <c r="P54" s="110"/>
      <c r="Q54" s="110"/>
      <c r="R54" s="110"/>
    </row>
    <row r="55" spans="1:23" x14ac:dyDescent="0.3">
      <c r="A55" s="109">
        <v>30</v>
      </c>
      <c r="B55" s="58">
        <f t="shared" si="5"/>
        <v>9052289</v>
      </c>
      <c r="C55" s="116">
        <f t="shared" si="6"/>
        <v>32747</v>
      </c>
      <c r="D55" s="117">
        <f t="shared" si="7"/>
        <v>22713</v>
      </c>
      <c r="E55" s="116">
        <f t="shared" si="8"/>
        <v>39779</v>
      </c>
      <c r="F55" s="116">
        <f t="shared" si="0"/>
        <v>55460</v>
      </c>
      <c r="G55" s="117">
        <f t="shared" si="1"/>
        <v>0</v>
      </c>
      <c r="H55" s="116">
        <f t="shared" si="9"/>
        <v>55460</v>
      </c>
      <c r="I55" s="116">
        <f t="shared" si="2"/>
        <v>55785</v>
      </c>
      <c r="J55" s="119">
        <f t="shared" si="3"/>
        <v>60598</v>
      </c>
      <c r="K55" s="119">
        <f t="shared" si="4"/>
        <v>65996</v>
      </c>
      <c r="L55" s="110"/>
      <c r="M55" s="110"/>
      <c r="N55" s="110"/>
      <c r="O55" s="110"/>
      <c r="P55" s="110"/>
      <c r="Q55" s="110"/>
      <c r="R55" s="110"/>
    </row>
    <row r="56" spans="1:23" x14ac:dyDescent="0.3">
      <c r="A56" s="109">
        <v>31</v>
      </c>
      <c r="B56" s="58">
        <f t="shared" si="5"/>
        <v>9019460</v>
      </c>
      <c r="C56" s="116">
        <f t="shared" si="6"/>
        <v>32829</v>
      </c>
      <c r="D56" s="117">
        <f t="shared" si="7"/>
        <v>22631</v>
      </c>
      <c r="E56" s="116">
        <f t="shared" si="8"/>
        <v>39779</v>
      </c>
      <c r="F56" s="116">
        <f t="shared" si="0"/>
        <v>55460</v>
      </c>
      <c r="G56" s="117">
        <f t="shared" si="1"/>
        <v>0</v>
      </c>
      <c r="H56" s="116">
        <f t="shared" si="9"/>
        <v>55460</v>
      </c>
      <c r="I56" s="116">
        <f t="shared" si="2"/>
        <v>55785</v>
      </c>
      <c r="J56" s="119">
        <f t="shared" si="3"/>
        <v>60598</v>
      </c>
      <c r="K56" s="119">
        <f t="shared" si="4"/>
        <v>65996</v>
      </c>
      <c r="L56" s="110"/>
      <c r="M56" s="110"/>
      <c r="N56" s="110"/>
      <c r="O56" s="110"/>
      <c r="P56" s="110"/>
      <c r="Q56" s="110"/>
      <c r="R56" s="110"/>
    </row>
    <row r="57" spans="1:23" x14ac:dyDescent="0.3">
      <c r="A57" s="109">
        <v>32</v>
      </c>
      <c r="B57" s="58">
        <f t="shared" si="5"/>
        <v>8986549</v>
      </c>
      <c r="C57" s="116">
        <f t="shared" si="6"/>
        <v>32911</v>
      </c>
      <c r="D57" s="117">
        <f t="shared" si="7"/>
        <v>22549</v>
      </c>
      <c r="E57" s="116">
        <f t="shared" si="8"/>
        <v>39779</v>
      </c>
      <c r="F57" s="116">
        <f t="shared" si="0"/>
        <v>55460</v>
      </c>
      <c r="G57" s="117">
        <f t="shared" si="1"/>
        <v>0</v>
      </c>
      <c r="H57" s="116">
        <f t="shared" si="9"/>
        <v>55460</v>
      </c>
      <c r="I57" s="116">
        <f t="shared" si="2"/>
        <v>55785</v>
      </c>
      <c r="J57" s="119">
        <f t="shared" si="3"/>
        <v>60598</v>
      </c>
      <c r="K57" s="119">
        <f t="shared" si="4"/>
        <v>65996</v>
      </c>
      <c r="L57" s="110"/>
      <c r="M57" s="110"/>
      <c r="N57" s="110"/>
      <c r="O57" s="110"/>
      <c r="P57" s="110"/>
      <c r="Q57" s="110"/>
      <c r="R57" s="110"/>
    </row>
    <row r="58" spans="1:23" x14ac:dyDescent="0.3">
      <c r="A58" s="109">
        <v>33</v>
      </c>
      <c r="B58" s="58">
        <f t="shared" si="5"/>
        <v>8953555</v>
      </c>
      <c r="C58" s="116">
        <f t="shared" si="6"/>
        <v>32994</v>
      </c>
      <c r="D58" s="117">
        <f t="shared" si="7"/>
        <v>22466</v>
      </c>
      <c r="E58" s="116">
        <f t="shared" si="8"/>
        <v>39779</v>
      </c>
      <c r="F58" s="116">
        <f t="shared" si="0"/>
        <v>55460</v>
      </c>
      <c r="G58" s="117">
        <f t="shared" si="1"/>
        <v>0</v>
      </c>
      <c r="H58" s="116">
        <f t="shared" si="9"/>
        <v>55460</v>
      </c>
      <c r="I58" s="116">
        <f t="shared" si="2"/>
        <v>55785</v>
      </c>
      <c r="J58" s="119">
        <f t="shared" si="3"/>
        <v>60598</v>
      </c>
      <c r="K58" s="119">
        <f t="shared" si="4"/>
        <v>65996</v>
      </c>
      <c r="L58" s="110"/>
      <c r="M58" s="110"/>
      <c r="N58" s="110"/>
      <c r="O58" s="110"/>
      <c r="P58" s="110"/>
      <c r="Q58" s="110"/>
      <c r="R58" s="110"/>
    </row>
    <row r="59" spans="1:23" x14ac:dyDescent="0.3">
      <c r="A59" s="109">
        <v>34</v>
      </c>
      <c r="B59" s="58">
        <f t="shared" si="5"/>
        <v>8920479</v>
      </c>
      <c r="C59" s="116">
        <f t="shared" si="6"/>
        <v>33076</v>
      </c>
      <c r="D59" s="117">
        <f t="shared" si="7"/>
        <v>22384</v>
      </c>
      <c r="E59" s="116">
        <f t="shared" si="8"/>
        <v>39779</v>
      </c>
      <c r="F59" s="116">
        <f t="shared" si="0"/>
        <v>55460</v>
      </c>
      <c r="G59" s="117">
        <f t="shared" si="1"/>
        <v>0</v>
      </c>
      <c r="H59" s="116">
        <f t="shared" si="9"/>
        <v>55460</v>
      </c>
      <c r="I59" s="116">
        <f t="shared" si="2"/>
        <v>55785</v>
      </c>
      <c r="J59" s="119">
        <f t="shared" si="3"/>
        <v>60598</v>
      </c>
      <c r="K59" s="119">
        <f t="shared" si="4"/>
        <v>65996</v>
      </c>
      <c r="L59" s="110"/>
      <c r="M59" s="110"/>
      <c r="N59" s="110"/>
      <c r="O59" s="110"/>
      <c r="P59" s="110"/>
      <c r="Q59" s="110"/>
      <c r="R59" s="110"/>
    </row>
    <row r="60" spans="1:23" x14ac:dyDescent="0.3">
      <c r="A60" s="109">
        <v>35</v>
      </c>
      <c r="B60" s="58">
        <f t="shared" si="5"/>
        <v>8887320</v>
      </c>
      <c r="C60" s="116">
        <f t="shared" si="6"/>
        <v>33159</v>
      </c>
      <c r="D60" s="117">
        <f t="shared" si="7"/>
        <v>22301</v>
      </c>
      <c r="E60" s="116">
        <f t="shared" si="8"/>
        <v>39779</v>
      </c>
      <c r="F60" s="116">
        <f t="shared" si="0"/>
        <v>55460</v>
      </c>
      <c r="G60" s="117">
        <f t="shared" si="1"/>
        <v>0</v>
      </c>
      <c r="H60" s="116">
        <f t="shared" si="9"/>
        <v>55460</v>
      </c>
      <c r="I60" s="116">
        <f t="shared" si="2"/>
        <v>55785</v>
      </c>
      <c r="J60" s="119">
        <f t="shared" si="3"/>
        <v>60598</v>
      </c>
      <c r="K60" s="119">
        <f t="shared" si="4"/>
        <v>65996</v>
      </c>
      <c r="L60" s="110"/>
      <c r="M60" s="110"/>
      <c r="N60" s="110"/>
      <c r="O60" s="110"/>
      <c r="P60" s="110"/>
      <c r="Q60" s="110"/>
      <c r="R60" s="110"/>
    </row>
    <row r="61" spans="1:23" x14ac:dyDescent="0.3">
      <c r="A61" s="109">
        <v>36</v>
      </c>
      <c r="B61" s="58">
        <f t="shared" si="5"/>
        <v>8854078</v>
      </c>
      <c r="C61" s="116">
        <f t="shared" si="6"/>
        <v>33242</v>
      </c>
      <c r="D61" s="117">
        <f t="shared" si="7"/>
        <v>22218</v>
      </c>
      <c r="E61" s="116">
        <f t="shared" si="8"/>
        <v>39779</v>
      </c>
      <c r="F61" s="116">
        <f t="shared" si="0"/>
        <v>55460</v>
      </c>
      <c r="G61" s="117">
        <f t="shared" si="1"/>
        <v>0</v>
      </c>
      <c r="H61" s="116">
        <f t="shared" si="9"/>
        <v>55460</v>
      </c>
      <c r="I61" s="116">
        <f t="shared" si="2"/>
        <v>55785</v>
      </c>
      <c r="J61" s="119">
        <f t="shared" si="3"/>
        <v>60598</v>
      </c>
      <c r="K61" s="119">
        <f t="shared" si="4"/>
        <v>65996</v>
      </c>
      <c r="L61" s="58">
        <f t="shared" ref="L61:Q61" si="12">SUM(C50:C61)</f>
        <v>393474</v>
      </c>
      <c r="M61" s="58">
        <f t="shared" si="12"/>
        <v>272046</v>
      </c>
      <c r="N61" s="58">
        <f t="shared" si="12"/>
        <v>477348</v>
      </c>
      <c r="O61" s="58">
        <f t="shared" si="12"/>
        <v>665520</v>
      </c>
      <c r="P61" s="58">
        <f t="shared" si="12"/>
        <v>0</v>
      </c>
      <c r="Q61" s="58">
        <f t="shared" si="12"/>
        <v>665520</v>
      </c>
      <c r="R61" s="58">
        <f>SUM(J50:J61)</f>
        <v>727176</v>
      </c>
      <c r="S61" s="29">
        <f>SUM(K50:K61)</f>
        <v>791952</v>
      </c>
      <c r="T61" s="29"/>
      <c r="U61" s="29"/>
      <c r="V61" s="29"/>
      <c r="W61" s="29"/>
    </row>
    <row r="62" spans="1:23" x14ac:dyDescent="0.3">
      <c r="A62" s="109">
        <v>37</v>
      </c>
      <c r="B62" s="58">
        <f t="shared" si="5"/>
        <v>8820753</v>
      </c>
      <c r="C62" s="116">
        <f t="shared" si="6"/>
        <v>33325</v>
      </c>
      <c r="D62" s="117">
        <f t="shared" si="7"/>
        <v>22135</v>
      </c>
      <c r="E62" s="116">
        <f t="shared" si="8"/>
        <v>39779</v>
      </c>
      <c r="F62" s="116">
        <f t="shared" si="0"/>
        <v>55460</v>
      </c>
      <c r="G62" s="117">
        <f t="shared" si="1"/>
        <v>0</v>
      </c>
      <c r="H62" s="116">
        <f t="shared" si="9"/>
        <v>55460</v>
      </c>
      <c r="I62" s="116">
        <f t="shared" si="2"/>
        <v>55785</v>
      </c>
      <c r="J62" s="119">
        <f t="shared" si="3"/>
        <v>60598</v>
      </c>
      <c r="K62" s="119">
        <f t="shared" si="4"/>
        <v>65996</v>
      </c>
      <c r="L62" s="110"/>
      <c r="M62" s="110"/>
      <c r="N62" s="110"/>
      <c r="O62" s="110"/>
      <c r="P62" s="110"/>
      <c r="Q62" s="110"/>
      <c r="R62" s="110"/>
    </row>
    <row r="63" spans="1:23" x14ac:dyDescent="0.3">
      <c r="A63" s="109">
        <v>38</v>
      </c>
      <c r="B63" s="58">
        <f t="shared" si="5"/>
        <v>8787345</v>
      </c>
      <c r="C63" s="116">
        <f t="shared" si="6"/>
        <v>33408</v>
      </c>
      <c r="D63" s="117">
        <f t="shared" si="7"/>
        <v>22052</v>
      </c>
      <c r="E63" s="116">
        <f t="shared" si="8"/>
        <v>39779</v>
      </c>
      <c r="F63" s="116">
        <f t="shared" si="0"/>
        <v>55460</v>
      </c>
      <c r="G63" s="117">
        <f t="shared" si="1"/>
        <v>0</v>
      </c>
      <c r="H63" s="116">
        <f t="shared" si="9"/>
        <v>55460</v>
      </c>
      <c r="I63" s="116">
        <f t="shared" si="2"/>
        <v>55785</v>
      </c>
      <c r="J63" s="119">
        <f t="shared" si="3"/>
        <v>60598</v>
      </c>
      <c r="K63" s="119">
        <f t="shared" si="4"/>
        <v>65996</v>
      </c>
      <c r="L63" s="110"/>
      <c r="M63" s="110"/>
      <c r="N63" s="110"/>
      <c r="O63" s="110"/>
      <c r="P63" s="110"/>
      <c r="Q63" s="110"/>
      <c r="R63" s="110"/>
    </row>
    <row r="64" spans="1:23" x14ac:dyDescent="0.3">
      <c r="A64" s="109">
        <v>39</v>
      </c>
      <c r="B64" s="58">
        <f t="shared" si="5"/>
        <v>8753853</v>
      </c>
      <c r="C64" s="116">
        <f t="shared" si="6"/>
        <v>33492</v>
      </c>
      <c r="D64" s="117">
        <f t="shared" si="7"/>
        <v>21968</v>
      </c>
      <c r="E64" s="116">
        <f t="shared" si="8"/>
        <v>39779</v>
      </c>
      <c r="F64" s="116">
        <f t="shared" si="0"/>
        <v>55460</v>
      </c>
      <c r="G64" s="117">
        <f t="shared" si="1"/>
        <v>0</v>
      </c>
      <c r="H64" s="116">
        <f t="shared" si="9"/>
        <v>55460</v>
      </c>
      <c r="I64" s="116">
        <f t="shared" si="2"/>
        <v>55785</v>
      </c>
      <c r="J64" s="119">
        <f t="shared" si="3"/>
        <v>60598</v>
      </c>
      <c r="K64" s="119">
        <f t="shared" si="4"/>
        <v>65996</v>
      </c>
      <c r="L64" s="110"/>
      <c r="M64" s="110"/>
      <c r="N64" s="110"/>
      <c r="O64" s="110"/>
      <c r="P64" s="110"/>
      <c r="Q64" s="110"/>
      <c r="R64" s="110"/>
    </row>
    <row r="65" spans="1:23" x14ac:dyDescent="0.3">
      <c r="A65" s="109">
        <v>40</v>
      </c>
      <c r="B65" s="58">
        <f t="shared" si="5"/>
        <v>8720278</v>
      </c>
      <c r="C65" s="116">
        <f t="shared" si="6"/>
        <v>33575</v>
      </c>
      <c r="D65" s="117">
        <f t="shared" si="7"/>
        <v>21885</v>
      </c>
      <c r="E65" s="116">
        <f t="shared" si="8"/>
        <v>39779</v>
      </c>
      <c r="F65" s="116">
        <f t="shared" si="0"/>
        <v>55460</v>
      </c>
      <c r="G65" s="117">
        <f t="shared" si="1"/>
        <v>0</v>
      </c>
      <c r="H65" s="116">
        <f t="shared" si="9"/>
        <v>55460</v>
      </c>
      <c r="I65" s="116">
        <f t="shared" si="2"/>
        <v>55785</v>
      </c>
      <c r="J65" s="119">
        <f t="shared" si="3"/>
        <v>60598</v>
      </c>
      <c r="K65" s="119">
        <f t="shared" si="4"/>
        <v>65996</v>
      </c>
      <c r="L65" s="110"/>
      <c r="M65" s="110"/>
      <c r="N65" s="110"/>
      <c r="O65" s="110"/>
      <c r="P65" s="110"/>
      <c r="Q65" s="110"/>
      <c r="R65" s="110"/>
    </row>
    <row r="66" spans="1:23" x14ac:dyDescent="0.3">
      <c r="A66" s="109">
        <v>41</v>
      </c>
      <c r="B66" s="58">
        <f t="shared" si="5"/>
        <v>8686619</v>
      </c>
      <c r="C66" s="116">
        <f t="shared" si="6"/>
        <v>33659</v>
      </c>
      <c r="D66" s="117">
        <f t="shared" si="7"/>
        <v>21801</v>
      </c>
      <c r="E66" s="116">
        <f t="shared" si="8"/>
        <v>39779</v>
      </c>
      <c r="F66" s="116">
        <f t="shared" si="0"/>
        <v>55460</v>
      </c>
      <c r="G66" s="117">
        <f t="shared" si="1"/>
        <v>0</v>
      </c>
      <c r="H66" s="116">
        <f t="shared" si="9"/>
        <v>55460</v>
      </c>
      <c r="I66" s="116">
        <f t="shared" si="2"/>
        <v>55785</v>
      </c>
      <c r="J66" s="119">
        <f t="shared" si="3"/>
        <v>60598</v>
      </c>
      <c r="K66" s="119">
        <f t="shared" si="4"/>
        <v>65996</v>
      </c>
      <c r="L66" s="110"/>
      <c r="M66" s="110"/>
      <c r="N66" s="110"/>
      <c r="O66" s="110"/>
      <c r="P66" s="110"/>
      <c r="Q66" s="110"/>
      <c r="R66" s="110"/>
    </row>
    <row r="67" spans="1:23" x14ac:dyDescent="0.3">
      <c r="A67" s="109">
        <v>42</v>
      </c>
      <c r="B67" s="58">
        <f t="shared" si="5"/>
        <v>8652876</v>
      </c>
      <c r="C67" s="116">
        <f t="shared" si="6"/>
        <v>33743</v>
      </c>
      <c r="D67" s="117">
        <f t="shared" si="7"/>
        <v>21717</v>
      </c>
      <c r="E67" s="116">
        <f t="shared" si="8"/>
        <v>39779</v>
      </c>
      <c r="F67" s="116">
        <f t="shared" si="0"/>
        <v>55460</v>
      </c>
      <c r="G67" s="117">
        <f t="shared" si="1"/>
        <v>0</v>
      </c>
      <c r="H67" s="116">
        <f t="shared" si="9"/>
        <v>55460</v>
      </c>
      <c r="I67" s="116">
        <f t="shared" si="2"/>
        <v>55785</v>
      </c>
      <c r="J67" s="119">
        <f t="shared" si="3"/>
        <v>60598</v>
      </c>
      <c r="K67" s="119">
        <f t="shared" si="4"/>
        <v>65996</v>
      </c>
      <c r="L67" s="110"/>
      <c r="M67" s="110"/>
      <c r="N67" s="110"/>
      <c r="O67" s="110"/>
      <c r="P67" s="110"/>
      <c r="Q67" s="110"/>
      <c r="R67" s="110"/>
    </row>
    <row r="68" spans="1:23" x14ac:dyDescent="0.3">
      <c r="A68" s="109">
        <v>43</v>
      </c>
      <c r="B68" s="58">
        <f t="shared" si="5"/>
        <v>8619048</v>
      </c>
      <c r="C68" s="116">
        <f t="shared" si="6"/>
        <v>33828</v>
      </c>
      <c r="D68" s="117">
        <f t="shared" si="7"/>
        <v>21632</v>
      </c>
      <c r="E68" s="116">
        <f t="shared" si="8"/>
        <v>39779</v>
      </c>
      <c r="F68" s="116">
        <f t="shared" si="0"/>
        <v>55460</v>
      </c>
      <c r="G68" s="117">
        <f t="shared" si="1"/>
        <v>0</v>
      </c>
      <c r="H68" s="116">
        <f t="shared" si="9"/>
        <v>55460</v>
      </c>
      <c r="I68" s="116">
        <f t="shared" si="2"/>
        <v>55785</v>
      </c>
      <c r="J68" s="119">
        <f t="shared" si="3"/>
        <v>60598</v>
      </c>
      <c r="K68" s="119">
        <f t="shared" si="4"/>
        <v>65996</v>
      </c>
      <c r="L68" s="110"/>
      <c r="M68" s="110"/>
      <c r="N68" s="110"/>
      <c r="O68" s="110"/>
      <c r="P68" s="110"/>
      <c r="Q68" s="110"/>
      <c r="R68" s="110"/>
    </row>
    <row r="69" spans="1:23" x14ac:dyDescent="0.3">
      <c r="A69" s="109">
        <v>44</v>
      </c>
      <c r="B69" s="58">
        <f t="shared" si="5"/>
        <v>8585136</v>
      </c>
      <c r="C69" s="116">
        <f t="shared" si="6"/>
        <v>33912</v>
      </c>
      <c r="D69" s="117">
        <f t="shared" si="7"/>
        <v>21548</v>
      </c>
      <c r="E69" s="116">
        <f t="shared" si="8"/>
        <v>39779</v>
      </c>
      <c r="F69" s="116">
        <f t="shared" si="0"/>
        <v>55460</v>
      </c>
      <c r="G69" s="117">
        <f t="shared" si="1"/>
        <v>0</v>
      </c>
      <c r="H69" s="116">
        <f t="shared" si="9"/>
        <v>55460</v>
      </c>
      <c r="I69" s="116">
        <f t="shared" si="2"/>
        <v>55785</v>
      </c>
      <c r="J69" s="119">
        <f t="shared" si="3"/>
        <v>60598</v>
      </c>
      <c r="K69" s="119">
        <f t="shared" si="4"/>
        <v>65996</v>
      </c>
      <c r="L69" s="110"/>
      <c r="M69" s="110"/>
      <c r="N69" s="110"/>
      <c r="O69" s="110"/>
      <c r="P69" s="110"/>
      <c r="Q69" s="110"/>
      <c r="R69" s="110"/>
    </row>
    <row r="70" spans="1:23" x14ac:dyDescent="0.3">
      <c r="A70" s="109">
        <v>45</v>
      </c>
      <c r="B70" s="58">
        <f t="shared" si="5"/>
        <v>8551139</v>
      </c>
      <c r="C70" s="116">
        <f t="shared" si="6"/>
        <v>33997</v>
      </c>
      <c r="D70" s="117">
        <f t="shared" si="7"/>
        <v>21463</v>
      </c>
      <c r="E70" s="116">
        <f t="shared" si="8"/>
        <v>39779</v>
      </c>
      <c r="F70" s="116">
        <f t="shared" si="0"/>
        <v>55460</v>
      </c>
      <c r="G70" s="117">
        <f t="shared" si="1"/>
        <v>0</v>
      </c>
      <c r="H70" s="116">
        <f t="shared" si="9"/>
        <v>55460</v>
      </c>
      <c r="I70" s="116">
        <f t="shared" si="2"/>
        <v>55785</v>
      </c>
      <c r="J70" s="119">
        <f t="shared" si="3"/>
        <v>60598</v>
      </c>
      <c r="K70" s="119">
        <f t="shared" si="4"/>
        <v>65996</v>
      </c>
      <c r="L70" s="110"/>
      <c r="M70" s="110"/>
      <c r="N70" s="110"/>
      <c r="O70" s="110"/>
      <c r="P70" s="110"/>
      <c r="Q70" s="110"/>
      <c r="R70" s="110"/>
    </row>
    <row r="71" spans="1:23" x14ac:dyDescent="0.3">
      <c r="A71" s="109">
        <v>46</v>
      </c>
      <c r="B71" s="58">
        <f t="shared" si="5"/>
        <v>8517057</v>
      </c>
      <c r="C71" s="116">
        <f t="shared" si="6"/>
        <v>34082</v>
      </c>
      <c r="D71" s="117">
        <f t="shared" si="7"/>
        <v>21378</v>
      </c>
      <c r="E71" s="116">
        <f t="shared" si="8"/>
        <v>39779</v>
      </c>
      <c r="F71" s="116">
        <f t="shared" si="0"/>
        <v>55460</v>
      </c>
      <c r="G71" s="117">
        <f t="shared" si="1"/>
        <v>0</v>
      </c>
      <c r="H71" s="116">
        <f t="shared" si="9"/>
        <v>55460</v>
      </c>
      <c r="I71" s="116">
        <f t="shared" si="2"/>
        <v>55785</v>
      </c>
      <c r="J71" s="119">
        <f t="shared" si="3"/>
        <v>60598</v>
      </c>
      <c r="K71" s="119">
        <f t="shared" si="4"/>
        <v>65996</v>
      </c>
      <c r="L71" s="110"/>
      <c r="M71" s="110"/>
      <c r="N71" s="110"/>
      <c r="O71" s="110"/>
      <c r="P71" s="110"/>
      <c r="Q71" s="110"/>
      <c r="R71" s="110"/>
    </row>
    <row r="72" spans="1:23" x14ac:dyDescent="0.3">
      <c r="A72" s="109">
        <v>47</v>
      </c>
      <c r="B72" s="58">
        <f t="shared" si="5"/>
        <v>8482890</v>
      </c>
      <c r="C72" s="116">
        <f t="shared" si="6"/>
        <v>34167</v>
      </c>
      <c r="D72" s="117">
        <f t="shared" si="7"/>
        <v>21293</v>
      </c>
      <c r="E72" s="116">
        <f t="shared" si="8"/>
        <v>39779</v>
      </c>
      <c r="F72" s="116">
        <f t="shared" si="0"/>
        <v>55460</v>
      </c>
      <c r="G72" s="117">
        <f t="shared" si="1"/>
        <v>0</v>
      </c>
      <c r="H72" s="116">
        <f t="shared" si="9"/>
        <v>55460</v>
      </c>
      <c r="I72" s="116">
        <f t="shared" si="2"/>
        <v>55785</v>
      </c>
      <c r="J72" s="119">
        <f t="shared" si="3"/>
        <v>60598</v>
      </c>
      <c r="K72" s="119">
        <f t="shared" si="4"/>
        <v>65996</v>
      </c>
      <c r="L72" s="110"/>
      <c r="M72" s="110"/>
      <c r="N72" s="110"/>
      <c r="O72" s="110"/>
      <c r="P72" s="110"/>
      <c r="Q72" s="110"/>
      <c r="R72" s="110"/>
    </row>
    <row r="73" spans="1:23" x14ac:dyDescent="0.3">
      <c r="A73" s="109">
        <v>48</v>
      </c>
      <c r="B73" s="58">
        <f t="shared" si="5"/>
        <v>8448637</v>
      </c>
      <c r="C73" s="116">
        <f t="shared" si="6"/>
        <v>34253</v>
      </c>
      <c r="D73" s="117">
        <f t="shared" si="7"/>
        <v>21207</v>
      </c>
      <c r="E73" s="116">
        <f t="shared" si="8"/>
        <v>39779</v>
      </c>
      <c r="F73" s="116">
        <f t="shared" si="0"/>
        <v>55460</v>
      </c>
      <c r="G73" s="117">
        <f t="shared" si="1"/>
        <v>0</v>
      </c>
      <c r="H73" s="116">
        <f t="shared" si="9"/>
        <v>55460</v>
      </c>
      <c r="I73" s="116">
        <f t="shared" si="2"/>
        <v>55785</v>
      </c>
      <c r="J73" s="119">
        <f t="shared" si="3"/>
        <v>60598</v>
      </c>
      <c r="K73" s="119">
        <f t="shared" si="4"/>
        <v>65996</v>
      </c>
      <c r="L73" s="58">
        <f t="shared" ref="L73:Q73" si="13">SUM(C62:C73)</f>
        <v>405441</v>
      </c>
      <c r="M73" s="58">
        <f t="shared" si="13"/>
        <v>260079</v>
      </c>
      <c r="N73" s="58">
        <f t="shared" si="13"/>
        <v>477348</v>
      </c>
      <c r="O73" s="58">
        <f t="shared" si="13"/>
        <v>665520</v>
      </c>
      <c r="P73" s="58">
        <f t="shared" si="13"/>
        <v>0</v>
      </c>
      <c r="Q73" s="58">
        <f t="shared" si="13"/>
        <v>665520</v>
      </c>
      <c r="R73" s="58">
        <f>SUM(J62:J73)</f>
        <v>727176</v>
      </c>
      <c r="S73" s="29">
        <f>SUM(K62:K73)</f>
        <v>791952</v>
      </c>
      <c r="T73" s="29"/>
      <c r="U73" s="29"/>
      <c r="V73" s="29"/>
      <c r="W73" s="29"/>
    </row>
    <row r="74" spans="1:23" x14ac:dyDescent="0.3">
      <c r="A74" s="111">
        <v>49</v>
      </c>
      <c r="B74" s="58">
        <f t="shared" si="5"/>
        <v>8414299</v>
      </c>
      <c r="C74" s="116">
        <f t="shared" si="6"/>
        <v>34338</v>
      </c>
      <c r="D74" s="117">
        <f t="shared" si="7"/>
        <v>21122</v>
      </c>
      <c r="E74" s="116">
        <f t="shared" si="8"/>
        <v>39779</v>
      </c>
      <c r="F74" s="116">
        <f t="shared" si="0"/>
        <v>55460</v>
      </c>
      <c r="G74" s="117">
        <f t="shared" si="1"/>
        <v>0</v>
      </c>
      <c r="H74" s="116">
        <f t="shared" si="9"/>
        <v>55460</v>
      </c>
      <c r="I74" s="116">
        <f t="shared" si="2"/>
        <v>55785</v>
      </c>
      <c r="J74" s="119">
        <f t="shared" si="3"/>
        <v>60598</v>
      </c>
      <c r="K74" s="119">
        <f t="shared" si="4"/>
        <v>65996</v>
      </c>
      <c r="L74" s="110"/>
      <c r="M74" s="110"/>
      <c r="N74" s="110"/>
      <c r="O74" s="110"/>
      <c r="P74" s="110"/>
      <c r="Q74" s="110"/>
      <c r="R74" s="110"/>
    </row>
    <row r="75" spans="1:23" x14ac:dyDescent="0.3">
      <c r="A75" s="109">
        <v>50</v>
      </c>
      <c r="B75" s="58">
        <f t="shared" si="5"/>
        <v>8379875</v>
      </c>
      <c r="C75" s="116">
        <f t="shared" si="6"/>
        <v>34424</v>
      </c>
      <c r="D75" s="117">
        <f t="shared" si="7"/>
        <v>21036</v>
      </c>
      <c r="E75" s="116">
        <f t="shared" si="8"/>
        <v>39779</v>
      </c>
      <c r="F75" s="116">
        <f t="shared" si="0"/>
        <v>55460</v>
      </c>
      <c r="G75" s="117">
        <f t="shared" si="1"/>
        <v>0</v>
      </c>
      <c r="H75" s="116">
        <f t="shared" si="9"/>
        <v>55460</v>
      </c>
      <c r="I75" s="116">
        <f t="shared" si="2"/>
        <v>55785</v>
      </c>
      <c r="J75" s="119">
        <f t="shared" si="3"/>
        <v>60598</v>
      </c>
      <c r="K75" s="119">
        <f t="shared" si="4"/>
        <v>65996</v>
      </c>
      <c r="L75" s="110"/>
      <c r="M75" s="110"/>
      <c r="N75" s="110"/>
      <c r="O75" s="110"/>
      <c r="P75" s="110"/>
      <c r="Q75" s="110"/>
      <c r="R75" s="110"/>
    </row>
    <row r="76" spans="1:23" x14ac:dyDescent="0.3">
      <c r="A76" s="109">
        <v>51</v>
      </c>
      <c r="B76" s="58">
        <f t="shared" si="5"/>
        <v>8345365</v>
      </c>
      <c r="C76" s="116">
        <f t="shared" si="6"/>
        <v>34510</v>
      </c>
      <c r="D76" s="117">
        <f t="shared" si="7"/>
        <v>20950</v>
      </c>
      <c r="E76" s="116">
        <f t="shared" si="8"/>
        <v>39779</v>
      </c>
      <c r="F76" s="116">
        <f t="shared" si="0"/>
        <v>55460</v>
      </c>
      <c r="G76" s="117">
        <f t="shared" si="1"/>
        <v>0</v>
      </c>
      <c r="H76" s="116">
        <f t="shared" si="9"/>
        <v>55460</v>
      </c>
      <c r="I76" s="116">
        <f t="shared" si="2"/>
        <v>55785</v>
      </c>
      <c r="J76" s="119">
        <f t="shared" si="3"/>
        <v>60598</v>
      </c>
      <c r="K76" s="119">
        <f t="shared" si="4"/>
        <v>65996</v>
      </c>
      <c r="L76" s="110"/>
      <c r="M76" s="110"/>
      <c r="N76" s="110"/>
      <c r="O76" s="110"/>
      <c r="P76" s="110"/>
      <c r="Q76" s="110"/>
      <c r="R76" s="110"/>
    </row>
    <row r="77" spans="1:23" x14ac:dyDescent="0.3">
      <c r="A77" s="109">
        <v>52</v>
      </c>
      <c r="B77" s="58">
        <f t="shared" si="5"/>
        <v>8310768</v>
      </c>
      <c r="C77" s="116">
        <f t="shared" si="6"/>
        <v>34597</v>
      </c>
      <c r="D77" s="117">
        <f t="shared" si="7"/>
        <v>20863</v>
      </c>
      <c r="E77" s="116">
        <f t="shared" si="8"/>
        <v>39779</v>
      </c>
      <c r="F77" s="116">
        <f t="shared" si="0"/>
        <v>55460</v>
      </c>
      <c r="G77" s="117">
        <f t="shared" si="1"/>
        <v>0</v>
      </c>
      <c r="H77" s="116">
        <f t="shared" si="9"/>
        <v>55460</v>
      </c>
      <c r="I77" s="116">
        <f t="shared" si="2"/>
        <v>55785</v>
      </c>
      <c r="J77" s="119">
        <f t="shared" si="3"/>
        <v>60598</v>
      </c>
      <c r="K77" s="119">
        <f t="shared" si="4"/>
        <v>65996</v>
      </c>
      <c r="L77" s="110"/>
      <c r="M77" s="110"/>
      <c r="N77" s="110"/>
      <c r="O77" s="110"/>
      <c r="P77" s="110"/>
      <c r="Q77" s="110"/>
      <c r="R77" s="110"/>
    </row>
    <row r="78" spans="1:23" x14ac:dyDescent="0.3">
      <c r="A78" s="109">
        <v>53</v>
      </c>
      <c r="B78" s="58">
        <f t="shared" si="5"/>
        <v>8276085</v>
      </c>
      <c r="C78" s="116">
        <f t="shared" si="6"/>
        <v>34683</v>
      </c>
      <c r="D78" s="117">
        <f t="shared" si="7"/>
        <v>20777</v>
      </c>
      <c r="E78" s="116">
        <f t="shared" si="8"/>
        <v>39779</v>
      </c>
      <c r="F78" s="116">
        <f t="shared" si="0"/>
        <v>55460</v>
      </c>
      <c r="G78" s="117">
        <f t="shared" si="1"/>
        <v>0</v>
      </c>
      <c r="H78" s="116">
        <f t="shared" si="9"/>
        <v>55460</v>
      </c>
      <c r="I78" s="116">
        <f t="shared" si="2"/>
        <v>55785</v>
      </c>
      <c r="J78" s="119">
        <f t="shared" si="3"/>
        <v>60598</v>
      </c>
      <c r="K78" s="119">
        <f t="shared" si="4"/>
        <v>65996</v>
      </c>
      <c r="L78" s="110"/>
      <c r="M78" s="110"/>
      <c r="N78" s="110"/>
      <c r="O78" s="110"/>
      <c r="P78" s="110"/>
      <c r="Q78" s="110"/>
      <c r="R78" s="110"/>
    </row>
    <row r="79" spans="1:23" x14ac:dyDescent="0.3">
      <c r="A79" s="109">
        <v>54</v>
      </c>
      <c r="B79" s="58">
        <f t="shared" si="5"/>
        <v>8241315</v>
      </c>
      <c r="C79" s="116">
        <f t="shared" si="6"/>
        <v>34770</v>
      </c>
      <c r="D79" s="117">
        <f t="shared" si="7"/>
        <v>20690</v>
      </c>
      <c r="E79" s="116">
        <f t="shared" si="8"/>
        <v>39779</v>
      </c>
      <c r="F79" s="116">
        <f t="shared" si="0"/>
        <v>55460</v>
      </c>
      <c r="G79" s="117">
        <f t="shared" si="1"/>
        <v>0</v>
      </c>
      <c r="H79" s="116">
        <f t="shared" si="9"/>
        <v>55460</v>
      </c>
      <c r="I79" s="116">
        <f t="shared" si="2"/>
        <v>55785</v>
      </c>
      <c r="J79" s="119">
        <f t="shared" si="3"/>
        <v>60598</v>
      </c>
      <c r="K79" s="119">
        <f t="shared" si="4"/>
        <v>65996</v>
      </c>
      <c r="L79" s="110"/>
      <c r="M79" s="110"/>
      <c r="N79" s="110"/>
      <c r="O79" s="110"/>
      <c r="P79" s="110"/>
      <c r="Q79" s="110"/>
      <c r="R79" s="110"/>
    </row>
    <row r="80" spans="1:23" x14ac:dyDescent="0.3">
      <c r="A80" s="109">
        <v>55</v>
      </c>
      <c r="B80" s="58">
        <f t="shared" si="5"/>
        <v>8206458</v>
      </c>
      <c r="C80" s="116">
        <f t="shared" si="6"/>
        <v>34857</v>
      </c>
      <c r="D80" s="117">
        <f t="shared" si="7"/>
        <v>20603</v>
      </c>
      <c r="E80" s="116">
        <f t="shared" si="8"/>
        <v>39779</v>
      </c>
      <c r="F80" s="116">
        <f t="shared" si="0"/>
        <v>55460</v>
      </c>
      <c r="G80" s="117">
        <f t="shared" si="1"/>
        <v>0</v>
      </c>
      <c r="H80" s="116">
        <f t="shared" si="9"/>
        <v>55460</v>
      </c>
      <c r="I80" s="116">
        <f t="shared" si="2"/>
        <v>55785</v>
      </c>
      <c r="J80" s="119">
        <f t="shared" si="3"/>
        <v>60598</v>
      </c>
      <c r="K80" s="119">
        <f t="shared" si="4"/>
        <v>65996</v>
      </c>
      <c r="L80" s="110"/>
      <c r="M80" s="110"/>
      <c r="N80" s="110"/>
      <c r="O80" s="110"/>
      <c r="P80" s="110"/>
      <c r="Q80" s="110"/>
      <c r="R80" s="110"/>
    </row>
    <row r="81" spans="1:256" x14ac:dyDescent="0.3">
      <c r="A81" s="109">
        <v>56</v>
      </c>
      <c r="B81" s="58">
        <f t="shared" si="5"/>
        <v>8171514</v>
      </c>
      <c r="C81" s="116">
        <f t="shared" si="6"/>
        <v>34944</v>
      </c>
      <c r="D81" s="117">
        <f t="shared" si="7"/>
        <v>20516</v>
      </c>
      <c r="E81" s="116">
        <f t="shared" si="8"/>
        <v>39779</v>
      </c>
      <c r="F81" s="116">
        <f t="shared" si="0"/>
        <v>55460</v>
      </c>
      <c r="G81" s="117">
        <f t="shared" si="1"/>
        <v>0</v>
      </c>
      <c r="H81" s="116">
        <f t="shared" si="9"/>
        <v>55460</v>
      </c>
      <c r="I81" s="116">
        <f t="shared" si="2"/>
        <v>55785</v>
      </c>
      <c r="J81" s="119">
        <f t="shared" si="3"/>
        <v>60598</v>
      </c>
      <c r="K81" s="119">
        <f t="shared" si="4"/>
        <v>65996</v>
      </c>
      <c r="L81" s="110"/>
      <c r="M81" s="110"/>
      <c r="N81" s="110"/>
      <c r="O81" s="110"/>
      <c r="P81" s="110"/>
      <c r="Q81" s="110"/>
      <c r="R81" s="110"/>
    </row>
    <row r="82" spans="1:256" x14ac:dyDescent="0.3">
      <c r="A82" s="109">
        <v>57</v>
      </c>
      <c r="B82" s="58">
        <f t="shared" si="5"/>
        <v>8136483</v>
      </c>
      <c r="C82" s="116">
        <f t="shared" si="6"/>
        <v>35031</v>
      </c>
      <c r="D82" s="117">
        <f t="shared" si="7"/>
        <v>20429</v>
      </c>
      <c r="E82" s="116">
        <f t="shared" si="8"/>
        <v>39779</v>
      </c>
      <c r="F82" s="116">
        <f t="shared" si="0"/>
        <v>55460</v>
      </c>
      <c r="G82" s="117">
        <f t="shared" si="1"/>
        <v>0</v>
      </c>
      <c r="H82" s="116">
        <f t="shared" ref="H82:H145" si="14">F82+G82</f>
        <v>55460</v>
      </c>
      <c r="I82" s="116">
        <f t="shared" si="2"/>
        <v>55785</v>
      </c>
      <c r="J82" s="119">
        <f t="shared" si="3"/>
        <v>60598</v>
      </c>
      <c r="K82" s="119">
        <f t="shared" si="4"/>
        <v>65996</v>
      </c>
      <c r="L82" s="110"/>
      <c r="M82" s="110"/>
      <c r="N82" s="110"/>
      <c r="O82" s="110"/>
      <c r="P82" s="110"/>
      <c r="Q82" s="110"/>
      <c r="R82" s="110"/>
    </row>
    <row r="83" spans="1:256" x14ac:dyDescent="0.3">
      <c r="A83" s="109">
        <v>58</v>
      </c>
      <c r="B83" s="58">
        <f t="shared" si="5"/>
        <v>8101364</v>
      </c>
      <c r="C83" s="116">
        <f t="shared" si="6"/>
        <v>35119</v>
      </c>
      <c r="D83" s="117">
        <f t="shared" si="7"/>
        <v>20341</v>
      </c>
      <c r="E83" s="116">
        <f t="shared" si="8"/>
        <v>39779</v>
      </c>
      <c r="F83" s="116">
        <f t="shared" si="0"/>
        <v>55460</v>
      </c>
      <c r="G83" s="117">
        <f t="shared" si="1"/>
        <v>0</v>
      </c>
      <c r="H83" s="116">
        <f t="shared" si="14"/>
        <v>55460</v>
      </c>
      <c r="I83" s="116">
        <f t="shared" si="2"/>
        <v>55785</v>
      </c>
      <c r="J83" s="119">
        <f t="shared" si="3"/>
        <v>60598</v>
      </c>
      <c r="K83" s="119">
        <f t="shared" si="4"/>
        <v>65996</v>
      </c>
      <c r="L83" s="110"/>
      <c r="M83" s="110"/>
      <c r="N83" s="110"/>
      <c r="O83" s="110"/>
      <c r="P83" s="110"/>
      <c r="Q83" s="110"/>
      <c r="R83" s="110"/>
    </row>
    <row r="84" spans="1:256" x14ac:dyDescent="0.3">
      <c r="A84" s="109">
        <v>59</v>
      </c>
      <c r="B84" s="58">
        <f t="shared" si="5"/>
        <v>8066157</v>
      </c>
      <c r="C84" s="116">
        <f t="shared" si="6"/>
        <v>35207</v>
      </c>
      <c r="D84" s="117">
        <f t="shared" si="7"/>
        <v>20253</v>
      </c>
      <c r="E84" s="116">
        <f t="shared" si="8"/>
        <v>39779</v>
      </c>
      <c r="F84" s="116">
        <f t="shared" si="0"/>
        <v>55460</v>
      </c>
      <c r="G84" s="117">
        <f t="shared" si="1"/>
        <v>0</v>
      </c>
      <c r="H84" s="116">
        <f t="shared" si="14"/>
        <v>55460</v>
      </c>
      <c r="I84" s="116">
        <f t="shared" si="2"/>
        <v>55785</v>
      </c>
      <c r="J84" s="119">
        <f t="shared" si="3"/>
        <v>60598</v>
      </c>
      <c r="K84" s="119">
        <f t="shared" si="4"/>
        <v>65996</v>
      </c>
      <c r="L84" s="110"/>
      <c r="M84" s="110"/>
      <c r="N84" s="110"/>
      <c r="O84" s="110"/>
      <c r="P84" s="110"/>
      <c r="Q84" s="110"/>
      <c r="R84" s="110"/>
    </row>
    <row r="85" spans="1:256" s="127" customFormat="1" x14ac:dyDescent="0.3">
      <c r="A85" s="109">
        <v>60</v>
      </c>
      <c r="B85" s="58">
        <f t="shared" si="5"/>
        <v>8030862</v>
      </c>
      <c r="C85" s="116">
        <f t="shared" si="6"/>
        <v>35295</v>
      </c>
      <c r="D85" s="117">
        <f t="shared" si="7"/>
        <v>20165</v>
      </c>
      <c r="E85" s="116">
        <f t="shared" si="8"/>
        <v>39779</v>
      </c>
      <c r="F85" s="116">
        <f t="shared" si="0"/>
        <v>55460</v>
      </c>
      <c r="G85" s="117">
        <f t="shared" si="1"/>
        <v>0</v>
      </c>
      <c r="H85" s="116">
        <f t="shared" si="14"/>
        <v>55460</v>
      </c>
      <c r="I85" s="116">
        <f t="shared" si="2"/>
        <v>55785</v>
      </c>
      <c r="J85" s="119">
        <f t="shared" si="3"/>
        <v>60598</v>
      </c>
      <c r="K85" s="119">
        <f t="shared" si="4"/>
        <v>65996</v>
      </c>
      <c r="L85" s="126">
        <f t="shared" ref="L85:Q85" si="15">SUM(C74:C85)</f>
        <v>417775</v>
      </c>
      <c r="M85" s="126">
        <f t="shared" si="15"/>
        <v>247745</v>
      </c>
      <c r="N85" s="126">
        <f t="shared" si="15"/>
        <v>477348</v>
      </c>
      <c r="O85" s="126">
        <f t="shared" si="15"/>
        <v>665520</v>
      </c>
      <c r="P85" s="126">
        <f t="shared" si="15"/>
        <v>0</v>
      </c>
      <c r="Q85" s="126">
        <f t="shared" si="15"/>
        <v>665520</v>
      </c>
      <c r="R85" s="126">
        <f>SUM(J74:J85)</f>
        <v>727176</v>
      </c>
      <c r="S85" s="126">
        <f>SUM(K74:K85)</f>
        <v>791952</v>
      </c>
      <c r="T85" s="126"/>
      <c r="U85" s="126"/>
      <c r="V85" s="126"/>
      <c r="W85" s="126"/>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x14ac:dyDescent="0.3">
      <c r="A86" s="109">
        <v>61</v>
      </c>
      <c r="B86" s="58">
        <f t="shared" si="5"/>
        <v>7995479</v>
      </c>
      <c r="C86" s="116">
        <f t="shared" si="6"/>
        <v>35383</v>
      </c>
      <c r="D86" s="117">
        <f t="shared" si="7"/>
        <v>20077</v>
      </c>
      <c r="E86" s="116">
        <f t="shared" si="8"/>
        <v>39779</v>
      </c>
      <c r="F86" s="116">
        <f t="shared" si="0"/>
        <v>55460</v>
      </c>
      <c r="G86" s="117">
        <f t="shared" si="1"/>
        <v>0</v>
      </c>
      <c r="H86" s="116">
        <f t="shared" si="14"/>
        <v>55460</v>
      </c>
      <c r="I86" s="116">
        <f t="shared" si="2"/>
        <v>55785</v>
      </c>
      <c r="J86" s="119">
        <f t="shared" si="3"/>
        <v>60598</v>
      </c>
      <c r="K86" s="119">
        <f t="shared" si="4"/>
        <v>65996</v>
      </c>
      <c r="L86" s="110"/>
      <c r="M86" s="110"/>
      <c r="N86" s="110"/>
      <c r="O86" s="110"/>
      <c r="P86" s="110"/>
      <c r="Q86" s="110"/>
      <c r="R86" s="110"/>
    </row>
    <row r="87" spans="1:256" x14ac:dyDescent="0.3">
      <c r="A87" s="109">
        <v>62</v>
      </c>
      <c r="B87" s="58">
        <f t="shared" si="5"/>
        <v>7960008</v>
      </c>
      <c r="C87" s="116">
        <f t="shared" si="6"/>
        <v>35471</v>
      </c>
      <c r="D87" s="117">
        <f t="shared" si="7"/>
        <v>19989</v>
      </c>
      <c r="E87" s="116">
        <f t="shared" si="8"/>
        <v>39779</v>
      </c>
      <c r="F87" s="116">
        <f t="shared" si="0"/>
        <v>55460</v>
      </c>
      <c r="G87" s="117">
        <f t="shared" si="1"/>
        <v>0</v>
      </c>
      <c r="H87" s="116">
        <f t="shared" si="14"/>
        <v>55460</v>
      </c>
      <c r="I87" s="116">
        <f t="shared" si="2"/>
        <v>55785</v>
      </c>
      <c r="J87" s="119">
        <f t="shared" si="3"/>
        <v>60598</v>
      </c>
      <c r="K87" s="119">
        <f t="shared" si="4"/>
        <v>65996</v>
      </c>
      <c r="L87" s="110"/>
      <c r="M87" s="110"/>
      <c r="N87" s="110"/>
      <c r="O87" s="110"/>
      <c r="P87" s="110"/>
      <c r="Q87" s="110"/>
      <c r="R87" s="110"/>
    </row>
    <row r="88" spans="1:256" x14ac:dyDescent="0.3">
      <c r="A88" s="109">
        <v>63</v>
      </c>
      <c r="B88" s="58">
        <f t="shared" si="5"/>
        <v>7924448</v>
      </c>
      <c r="C88" s="116">
        <f t="shared" si="6"/>
        <v>35560</v>
      </c>
      <c r="D88" s="117">
        <f t="shared" si="7"/>
        <v>19900</v>
      </c>
      <c r="E88" s="116">
        <f t="shared" si="8"/>
        <v>39779</v>
      </c>
      <c r="F88" s="116">
        <f t="shared" si="0"/>
        <v>55460</v>
      </c>
      <c r="G88" s="117">
        <f t="shared" si="1"/>
        <v>0</v>
      </c>
      <c r="H88" s="116">
        <f t="shared" si="14"/>
        <v>55460</v>
      </c>
      <c r="I88" s="116">
        <f t="shared" si="2"/>
        <v>55785</v>
      </c>
      <c r="J88" s="119">
        <f t="shared" si="3"/>
        <v>60598</v>
      </c>
      <c r="K88" s="119">
        <f t="shared" si="4"/>
        <v>65996</v>
      </c>
      <c r="L88" s="110"/>
      <c r="M88" s="110"/>
      <c r="N88" s="110"/>
      <c r="O88" s="110"/>
      <c r="P88" s="110"/>
      <c r="Q88" s="110"/>
      <c r="R88" s="110"/>
    </row>
    <row r="89" spans="1:256" x14ac:dyDescent="0.3">
      <c r="A89" s="109">
        <v>64</v>
      </c>
      <c r="B89" s="58">
        <f t="shared" si="5"/>
        <v>7888799</v>
      </c>
      <c r="C89" s="116">
        <f t="shared" si="6"/>
        <v>35649</v>
      </c>
      <c r="D89" s="117">
        <f t="shared" si="7"/>
        <v>19811</v>
      </c>
      <c r="E89" s="116">
        <f t="shared" si="8"/>
        <v>39779</v>
      </c>
      <c r="F89" s="116">
        <f t="shared" si="0"/>
        <v>55460</v>
      </c>
      <c r="G89" s="117">
        <f t="shared" si="1"/>
        <v>0</v>
      </c>
      <c r="H89" s="116">
        <f t="shared" si="14"/>
        <v>55460</v>
      </c>
      <c r="I89" s="116">
        <f t="shared" si="2"/>
        <v>55785</v>
      </c>
      <c r="J89" s="119">
        <f t="shared" si="3"/>
        <v>60598</v>
      </c>
      <c r="K89" s="119">
        <f t="shared" si="4"/>
        <v>65996</v>
      </c>
      <c r="L89" s="110"/>
      <c r="M89" s="110"/>
      <c r="N89" s="110"/>
      <c r="O89" s="110"/>
      <c r="P89" s="110"/>
      <c r="Q89" s="110"/>
      <c r="R89" s="110"/>
    </row>
    <row r="90" spans="1:256" x14ac:dyDescent="0.3">
      <c r="A90" s="109">
        <v>65</v>
      </c>
      <c r="B90" s="58">
        <f t="shared" ref="B90:B153" si="16">B89-C90</f>
        <v>7853061</v>
      </c>
      <c r="C90" s="116">
        <f t="shared" si="6"/>
        <v>35738</v>
      </c>
      <c r="D90" s="117">
        <f t="shared" si="7"/>
        <v>19722</v>
      </c>
      <c r="E90" s="116">
        <f t="shared" si="8"/>
        <v>39779</v>
      </c>
      <c r="F90" s="116">
        <f t="shared" ref="F90:F153" si="17">ROUND(IF(A90&gt;$G$6,(IF(A90&gt;=$C$3,B89+D90,PMT($C$4/12,$C$3-$G$6,-$B$25))),D90),0)</f>
        <v>55460</v>
      </c>
      <c r="G90" s="117">
        <f t="shared" ref="G90:G153" si="18">ROUND(IF(A90&gt;$G$6,0,$B$25*$C$14/360*30),0)</f>
        <v>0</v>
      </c>
      <c r="H90" s="116">
        <f t="shared" si="14"/>
        <v>55460</v>
      </c>
      <c r="I90" s="116">
        <f t="shared" ref="I90:I153" si="19">IF(A90&lt;=$C$3,H90+$C$17,0)</f>
        <v>55785</v>
      </c>
      <c r="J90" s="119">
        <f t="shared" ref="J90:J153" si="20">ROUND(IF(A90&gt;$G$6,(IF(A90&gt;=$C$3,B89+D90,PMT($L$12/12,$C$3-$G$6,-$B$25))),D90),0)</f>
        <v>60598</v>
      </c>
      <c r="K90" s="119">
        <f t="shared" ref="K90:K153" si="21">ROUND(IF(A90&gt;$G$6,(IF(A90&gt;=$C$3,B89+D90,PMT($L$13/12,$C$3-$G$6,-$B$25))),D90),0)</f>
        <v>65996</v>
      </c>
      <c r="L90" s="110"/>
      <c r="M90" s="110"/>
      <c r="N90" s="110"/>
      <c r="O90" s="110"/>
      <c r="P90" s="110"/>
      <c r="Q90" s="110"/>
      <c r="R90" s="110"/>
    </row>
    <row r="91" spans="1:256" x14ac:dyDescent="0.3">
      <c r="A91" s="109">
        <v>66</v>
      </c>
      <c r="B91" s="58">
        <f t="shared" si="16"/>
        <v>7817234</v>
      </c>
      <c r="C91" s="116">
        <f t="shared" ref="C91:C154" si="22">+F91-D91</f>
        <v>35827</v>
      </c>
      <c r="D91" s="117">
        <f t="shared" ref="D91:D154" si="23">ROUND(IF(A91&gt;$G$6,B90*$C$4*30/360,0),0)</f>
        <v>19633</v>
      </c>
      <c r="E91" s="116">
        <f t="shared" ref="E91:E154" si="24">ROUND(IF(A91&gt;$C$3,0,$B$25*($C$5/12)),0)</f>
        <v>39779</v>
      </c>
      <c r="F91" s="116">
        <f t="shared" si="17"/>
        <v>55460</v>
      </c>
      <c r="G91" s="117">
        <f t="shared" si="18"/>
        <v>0</v>
      </c>
      <c r="H91" s="116">
        <f t="shared" si="14"/>
        <v>55460</v>
      </c>
      <c r="I91" s="116">
        <f t="shared" si="19"/>
        <v>55785</v>
      </c>
      <c r="J91" s="119">
        <f t="shared" si="20"/>
        <v>60598</v>
      </c>
      <c r="K91" s="119">
        <f t="shared" si="21"/>
        <v>65996</v>
      </c>
      <c r="L91" s="110"/>
      <c r="M91" s="110"/>
      <c r="N91" s="110"/>
      <c r="O91" s="110"/>
      <c r="P91" s="110"/>
      <c r="Q91" s="110"/>
      <c r="R91" s="110"/>
    </row>
    <row r="92" spans="1:256" x14ac:dyDescent="0.3">
      <c r="A92" s="109">
        <v>67</v>
      </c>
      <c r="B92" s="58">
        <f t="shared" si="16"/>
        <v>7781317</v>
      </c>
      <c r="C92" s="116">
        <f t="shared" si="22"/>
        <v>35917</v>
      </c>
      <c r="D92" s="117">
        <f t="shared" si="23"/>
        <v>19543</v>
      </c>
      <c r="E92" s="116">
        <f t="shared" si="24"/>
        <v>39779</v>
      </c>
      <c r="F92" s="116">
        <f t="shared" si="17"/>
        <v>55460</v>
      </c>
      <c r="G92" s="117">
        <f t="shared" si="18"/>
        <v>0</v>
      </c>
      <c r="H92" s="116">
        <f t="shared" si="14"/>
        <v>55460</v>
      </c>
      <c r="I92" s="116">
        <f t="shared" si="19"/>
        <v>55785</v>
      </c>
      <c r="J92" s="119">
        <f t="shared" si="20"/>
        <v>60598</v>
      </c>
      <c r="K92" s="119">
        <f t="shared" si="21"/>
        <v>65996</v>
      </c>
      <c r="L92" s="110"/>
      <c r="M92" s="110"/>
      <c r="N92" s="110"/>
      <c r="O92" s="110"/>
      <c r="P92" s="110"/>
      <c r="Q92" s="110"/>
      <c r="R92" s="110"/>
    </row>
    <row r="93" spans="1:256" x14ac:dyDescent="0.3">
      <c r="A93" s="109">
        <v>68</v>
      </c>
      <c r="B93" s="58">
        <f t="shared" si="16"/>
        <v>7745310</v>
      </c>
      <c r="C93" s="116">
        <f t="shared" si="22"/>
        <v>36007</v>
      </c>
      <c r="D93" s="117">
        <f t="shared" si="23"/>
        <v>19453</v>
      </c>
      <c r="E93" s="116">
        <f t="shared" si="24"/>
        <v>39779</v>
      </c>
      <c r="F93" s="116">
        <f t="shared" si="17"/>
        <v>55460</v>
      </c>
      <c r="G93" s="117">
        <f t="shared" si="18"/>
        <v>0</v>
      </c>
      <c r="H93" s="116">
        <f t="shared" si="14"/>
        <v>55460</v>
      </c>
      <c r="I93" s="116">
        <f t="shared" si="19"/>
        <v>55785</v>
      </c>
      <c r="J93" s="119">
        <f t="shared" si="20"/>
        <v>60598</v>
      </c>
      <c r="K93" s="119">
        <f t="shared" si="21"/>
        <v>65996</v>
      </c>
      <c r="L93" s="110"/>
      <c r="M93" s="110"/>
      <c r="N93" s="110"/>
      <c r="O93" s="110"/>
      <c r="P93" s="110"/>
      <c r="Q93" s="110"/>
      <c r="R93" s="110"/>
    </row>
    <row r="94" spans="1:256" x14ac:dyDescent="0.3">
      <c r="A94" s="109">
        <v>69</v>
      </c>
      <c r="B94" s="58">
        <f t="shared" si="16"/>
        <v>7709213</v>
      </c>
      <c r="C94" s="116">
        <f t="shared" si="22"/>
        <v>36097</v>
      </c>
      <c r="D94" s="117">
        <f t="shared" si="23"/>
        <v>19363</v>
      </c>
      <c r="E94" s="116">
        <f t="shared" si="24"/>
        <v>39779</v>
      </c>
      <c r="F94" s="116">
        <f t="shared" si="17"/>
        <v>55460</v>
      </c>
      <c r="G94" s="117">
        <f t="shared" si="18"/>
        <v>0</v>
      </c>
      <c r="H94" s="116">
        <f t="shared" si="14"/>
        <v>55460</v>
      </c>
      <c r="I94" s="116">
        <f t="shared" si="19"/>
        <v>55785</v>
      </c>
      <c r="J94" s="119">
        <f t="shared" si="20"/>
        <v>60598</v>
      </c>
      <c r="K94" s="119">
        <f t="shared" si="21"/>
        <v>65996</v>
      </c>
      <c r="L94" s="110"/>
      <c r="M94" s="110"/>
      <c r="N94" s="110"/>
      <c r="O94" s="110"/>
      <c r="P94" s="110"/>
      <c r="Q94" s="110"/>
      <c r="R94" s="110"/>
    </row>
    <row r="95" spans="1:256" x14ac:dyDescent="0.3">
      <c r="A95" s="109">
        <v>70</v>
      </c>
      <c r="B95" s="58">
        <f t="shared" si="16"/>
        <v>7673026</v>
      </c>
      <c r="C95" s="116">
        <f t="shared" si="22"/>
        <v>36187</v>
      </c>
      <c r="D95" s="117">
        <f t="shared" si="23"/>
        <v>19273</v>
      </c>
      <c r="E95" s="116">
        <f t="shared" si="24"/>
        <v>39779</v>
      </c>
      <c r="F95" s="116">
        <f t="shared" si="17"/>
        <v>55460</v>
      </c>
      <c r="G95" s="117">
        <f t="shared" si="18"/>
        <v>0</v>
      </c>
      <c r="H95" s="116">
        <f t="shared" si="14"/>
        <v>55460</v>
      </c>
      <c r="I95" s="116">
        <f t="shared" si="19"/>
        <v>55785</v>
      </c>
      <c r="J95" s="119">
        <f t="shared" si="20"/>
        <v>60598</v>
      </c>
      <c r="K95" s="119">
        <f t="shared" si="21"/>
        <v>65996</v>
      </c>
      <c r="L95" s="110"/>
      <c r="M95" s="110"/>
      <c r="N95" s="110"/>
      <c r="O95" s="110"/>
      <c r="P95" s="110"/>
      <c r="Q95" s="110"/>
      <c r="R95" s="110"/>
    </row>
    <row r="96" spans="1:256" x14ac:dyDescent="0.3">
      <c r="A96" s="109">
        <v>71</v>
      </c>
      <c r="B96" s="58">
        <f t="shared" si="16"/>
        <v>7636749</v>
      </c>
      <c r="C96" s="116">
        <f t="shared" si="22"/>
        <v>36277</v>
      </c>
      <c r="D96" s="117">
        <f t="shared" si="23"/>
        <v>19183</v>
      </c>
      <c r="E96" s="116">
        <f t="shared" si="24"/>
        <v>39779</v>
      </c>
      <c r="F96" s="116">
        <f t="shared" si="17"/>
        <v>55460</v>
      </c>
      <c r="G96" s="117">
        <f t="shared" si="18"/>
        <v>0</v>
      </c>
      <c r="H96" s="116">
        <f t="shared" si="14"/>
        <v>55460</v>
      </c>
      <c r="I96" s="116">
        <f t="shared" si="19"/>
        <v>55785</v>
      </c>
      <c r="J96" s="119">
        <f t="shared" si="20"/>
        <v>60598</v>
      </c>
      <c r="K96" s="119">
        <f t="shared" si="21"/>
        <v>65996</v>
      </c>
      <c r="L96" s="110"/>
      <c r="M96" s="110"/>
      <c r="N96" s="110"/>
      <c r="O96" s="110"/>
      <c r="P96" s="110"/>
      <c r="Q96" s="110"/>
      <c r="R96" s="110"/>
    </row>
    <row r="97" spans="1:23" x14ac:dyDescent="0.3">
      <c r="A97" s="109">
        <v>72</v>
      </c>
      <c r="B97" s="58">
        <f t="shared" si="16"/>
        <v>7600381</v>
      </c>
      <c r="C97" s="116">
        <f t="shared" si="22"/>
        <v>36368</v>
      </c>
      <c r="D97" s="117">
        <f t="shared" si="23"/>
        <v>19092</v>
      </c>
      <c r="E97" s="116">
        <f t="shared" si="24"/>
        <v>39779</v>
      </c>
      <c r="F97" s="116">
        <f t="shared" si="17"/>
        <v>55460</v>
      </c>
      <c r="G97" s="117">
        <f t="shared" si="18"/>
        <v>0</v>
      </c>
      <c r="H97" s="116">
        <f t="shared" si="14"/>
        <v>55460</v>
      </c>
      <c r="I97" s="116">
        <f t="shared" si="19"/>
        <v>55785</v>
      </c>
      <c r="J97" s="119">
        <f t="shared" si="20"/>
        <v>60598</v>
      </c>
      <c r="K97" s="119">
        <f t="shared" si="21"/>
        <v>65996</v>
      </c>
      <c r="L97" s="58">
        <f t="shared" ref="L97:Q97" si="25">SUM(C86:C97)</f>
        <v>430481</v>
      </c>
      <c r="M97" s="58">
        <f t="shared" si="25"/>
        <v>235039</v>
      </c>
      <c r="N97" s="58">
        <f t="shared" si="25"/>
        <v>477348</v>
      </c>
      <c r="O97" s="58">
        <f t="shared" si="25"/>
        <v>665520</v>
      </c>
      <c r="P97" s="58">
        <f t="shared" si="25"/>
        <v>0</v>
      </c>
      <c r="Q97" s="58">
        <f t="shared" si="25"/>
        <v>665520</v>
      </c>
      <c r="R97" s="58">
        <f>SUM(J86:J97)</f>
        <v>727176</v>
      </c>
      <c r="S97" s="29">
        <f>SUM(K86:K97)</f>
        <v>791952</v>
      </c>
      <c r="T97" s="29"/>
      <c r="U97" s="29"/>
      <c r="V97" s="29"/>
      <c r="W97" s="29"/>
    </row>
    <row r="98" spans="1:23" x14ac:dyDescent="0.3">
      <c r="A98" s="109">
        <v>73</v>
      </c>
      <c r="B98" s="58">
        <f t="shared" si="16"/>
        <v>7563922</v>
      </c>
      <c r="C98" s="116">
        <f t="shared" si="22"/>
        <v>36459</v>
      </c>
      <c r="D98" s="117">
        <f t="shared" si="23"/>
        <v>19001</v>
      </c>
      <c r="E98" s="116">
        <f t="shared" si="24"/>
        <v>39779</v>
      </c>
      <c r="F98" s="116">
        <f t="shared" si="17"/>
        <v>55460</v>
      </c>
      <c r="G98" s="117">
        <f t="shared" si="18"/>
        <v>0</v>
      </c>
      <c r="H98" s="116">
        <f t="shared" si="14"/>
        <v>55460</v>
      </c>
      <c r="I98" s="116">
        <f t="shared" si="19"/>
        <v>55785</v>
      </c>
      <c r="J98" s="119">
        <f t="shared" si="20"/>
        <v>60598</v>
      </c>
      <c r="K98" s="119">
        <f t="shared" si="21"/>
        <v>65996</v>
      </c>
      <c r="L98" s="110"/>
      <c r="M98" s="110"/>
      <c r="N98" s="110"/>
      <c r="O98" s="110"/>
      <c r="P98" s="110"/>
      <c r="Q98" s="110"/>
      <c r="R98" s="110"/>
    </row>
    <row r="99" spans="1:23" x14ac:dyDescent="0.3">
      <c r="A99" s="109">
        <v>74</v>
      </c>
      <c r="B99" s="58">
        <f t="shared" si="16"/>
        <v>7527372</v>
      </c>
      <c r="C99" s="116">
        <f t="shared" si="22"/>
        <v>36550</v>
      </c>
      <c r="D99" s="117">
        <f t="shared" si="23"/>
        <v>18910</v>
      </c>
      <c r="E99" s="116">
        <f t="shared" si="24"/>
        <v>39779</v>
      </c>
      <c r="F99" s="116">
        <f t="shared" si="17"/>
        <v>55460</v>
      </c>
      <c r="G99" s="117">
        <f t="shared" si="18"/>
        <v>0</v>
      </c>
      <c r="H99" s="116">
        <f t="shared" si="14"/>
        <v>55460</v>
      </c>
      <c r="I99" s="116">
        <f t="shared" si="19"/>
        <v>55785</v>
      </c>
      <c r="J99" s="119">
        <f t="shared" si="20"/>
        <v>60598</v>
      </c>
      <c r="K99" s="119">
        <f t="shared" si="21"/>
        <v>65996</v>
      </c>
      <c r="L99" s="110"/>
      <c r="M99" s="110"/>
      <c r="N99" s="110"/>
      <c r="O99" s="110"/>
      <c r="P99" s="110"/>
      <c r="Q99" s="110"/>
      <c r="R99" s="110"/>
    </row>
    <row r="100" spans="1:23" x14ac:dyDescent="0.3">
      <c r="A100" s="109">
        <v>75</v>
      </c>
      <c r="B100" s="58">
        <f t="shared" si="16"/>
        <v>7490730</v>
      </c>
      <c r="C100" s="116">
        <f t="shared" si="22"/>
        <v>36642</v>
      </c>
      <c r="D100" s="117">
        <f t="shared" si="23"/>
        <v>18818</v>
      </c>
      <c r="E100" s="116">
        <f t="shared" si="24"/>
        <v>39779</v>
      </c>
      <c r="F100" s="116">
        <f t="shared" si="17"/>
        <v>55460</v>
      </c>
      <c r="G100" s="117">
        <f t="shared" si="18"/>
        <v>0</v>
      </c>
      <c r="H100" s="116">
        <f t="shared" si="14"/>
        <v>55460</v>
      </c>
      <c r="I100" s="116">
        <f t="shared" si="19"/>
        <v>55785</v>
      </c>
      <c r="J100" s="119">
        <f t="shared" si="20"/>
        <v>60598</v>
      </c>
      <c r="K100" s="119">
        <f t="shared" si="21"/>
        <v>65996</v>
      </c>
      <c r="L100" s="110"/>
      <c r="M100" s="110"/>
      <c r="N100" s="110"/>
      <c r="O100" s="110"/>
      <c r="P100" s="110"/>
      <c r="Q100" s="110"/>
      <c r="R100" s="110"/>
    </row>
    <row r="101" spans="1:23" x14ac:dyDescent="0.3">
      <c r="A101" s="109">
        <v>76</v>
      </c>
      <c r="B101" s="58">
        <f t="shared" si="16"/>
        <v>7453997</v>
      </c>
      <c r="C101" s="116">
        <f t="shared" si="22"/>
        <v>36733</v>
      </c>
      <c r="D101" s="117">
        <f t="shared" si="23"/>
        <v>18727</v>
      </c>
      <c r="E101" s="116">
        <f t="shared" si="24"/>
        <v>39779</v>
      </c>
      <c r="F101" s="116">
        <f t="shared" si="17"/>
        <v>55460</v>
      </c>
      <c r="G101" s="117">
        <f t="shared" si="18"/>
        <v>0</v>
      </c>
      <c r="H101" s="116">
        <f t="shared" si="14"/>
        <v>55460</v>
      </c>
      <c r="I101" s="116">
        <f t="shared" si="19"/>
        <v>55785</v>
      </c>
      <c r="J101" s="119">
        <f t="shared" si="20"/>
        <v>60598</v>
      </c>
      <c r="K101" s="119">
        <f t="shared" si="21"/>
        <v>65996</v>
      </c>
      <c r="L101" s="110"/>
      <c r="M101" s="110"/>
      <c r="N101" s="110"/>
      <c r="O101" s="110"/>
      <c r="P101" s="110"/>
      <c r="Q101" s="110"/>
      <c r="R101" s="110"/>
    </row>
    <row r="102" spans="1:23" x14ac:dyDescent="0.3">
      <c r="A102" s="109">
        <v>77</v>
      </c>
      <c r="B102" s="58">
        <f t="shared" si="16"/>
        <v>7417172</v>
      </c>
      <c r="C102" s="116">
        <f t="shared" si="22"/>
        <v>36825</v>
      </c>
      <c r="D102" s="117">
        <f t="shared" si="23"/>
        <v>18635</v>
      </c>
      <c r="E102" s="116">
        <f t="shared" si="24"/>
        <v>39779</v>
      </c>
      <c r="F102" s="116">
        <f t="shared" si="17"/>
        <v>55460</v>
      </c>
      <c r="G102" s="117">
        <f t="shared" si="18"/>
        <v>0</v>
      </c>
      <c r="H102" s="116">
        <f t="shared" si="14"/>
        <v>55460</v>
      </c>
      <c r="I102" s="116">
        <f t="shared" si="19"/>
        <v>55785</v>
      </c>
      <c r="J102" s="119">
        <f t="shared" si="20"/>
        <v>60598</v>
      </c>
      <c r="K102" s="119">
        <f t="shared" si="21"/>
        <v>65996</v>
      </c>
      <c r="L102" s="110"/>
      <c r="M102" s="110"/>
      <c r="N102" s="110"/>
      <c r="O102" s="110"/>
      <c r="P102" s="110"/>
      <c r="Q102" s="110"/>
      <c r="R102" s="110"/>
    </row>
    <row r="103" spans="1:23" x14ac:dyDescent="0.3">
      <c r="A103" s="109">
        <v>78</v>
      </c>
      <c r="B103" s="58">
        <f t="shared" si="16"/>
        <v>7380255</v>
      </c>
      <c r="C103" s="116">
        <f t="shared" si="22"/>
        <v>36917</v>
      </c>
      <c r="D103" s="117">
        <f t="shared" si="23"/>
        <v>18543</v>
      </c>
      <c r="E103" s="116">
        <f t="shared" si="24"/>
        <v>39779</v>
      </c>
      <c r="F103" s="116">
        <f t="shared" si="17"/>
        <v>55460</v>
      </c>
      <c r="G103" s="117">
        <f t="shared" si="18"/>
        <v>0</v>
      </c>
      <c r="H103" s="116">
        <f t="shared" si="14"/>
        <v>55460</v>
      </c>
      <c r="I103" s="116">
        <f t="shared" si="19"/>
        <v>55785</v>
      </c>
      <c r="J103" s="119">
        <f t="shared" si="20"/>
        <v>60598</v>
      </c>
      <c r="K103" s="119">
        <f t="shared" si="21"/>
        <v>65996</v>
      </c>
      <c r="L103" s="110"/>
      <c r="M103" s="110"/>
      <c r="N103" s="110"/>
      <c r="O103" s="110"/>
      <c r="P103" s="110"/>
      <c r="Q103" s="110"/>
      <c r="R103" s="110"/>
    </row>
    <row r="104" spans="1:23" x14ac:dyDescent="0.3">
      <c r="A104" s="109">
        <v>79</v>
      </c>
      <c r="B104" s="58">
        <f t="shared" si="16"/>
        <v>7343246</v>
      </c>
      <c r="C104" s="116">
        <f t="shared" si="22"/>
        <v>37009</v>
      </c>
      <c r="D104" s="117">
        <f t="shared" si="23"/>
        <v>18451</v>
      </c>
      <c r="E104" s="116">
        <f t="shared" si="24"/>
        <v>39779</v>
      </c>
      <c r="F104" s="116">
        <f t="shared" si="17"/>
        <v>55460</v>
      </c>
      <c r="G104" s="117">
        <f t="shared" si="18"/>
        <v>0</v>
      </c>
      <c r="H104" s="116">
        <f t="shared" si="14"/>
        <v>55460</v>
      </c>
      <c r="I104" s="116">
        <f t="shared" si="19"/>
        <v>55785</v>
      </c>
      <c r="J104" s="119">
        <f t="shared" si="20"/>
        <v>60598</v>
      </c>
      <c r="K104" s="119">
        <f t="shared" si="21"/>
        <v>65996</v>
      </c>
      <c r="L104" s="110"/>
      <c r="M104" s="110"/>
      <c r="N104" s="110"/>
      <c r="O104" s="110"/>
      <c r="P104" s="110"/>
      <c r="Q104" s="110"/>
      <c r="R104" s="110"/>
    </row>
    <row r="105" spans="1:23" x14ac:dyDescent="0.3">
      <c r="A105" s="109">
        <v>80</v>
      </c>
      <c r="B105" s="58">
        <f t="shared" si="16"/>
        <v>7306144</v>
      </c>
      <c r="C105" s="116">
        <f t="shared" si="22"/>
        <v>37102</v>
      </c>
      <c r="D105" s="117">
        <f t="shared" si="23"/>
        <v>18358</v>
      </c>
      <c r="E105" s="116">
        <f t="shared" si="24"/>
        <v>39779</v>
      </c>
      <c r="F105" s="116">
        <f t="shared" si="17"/>
        <v>55460</v>
      </c>
      <c r="G105" s="117">
        <f t="shared" si="18"/>
        <v>0</v>
      </c>
      <c r="H105" s="116">
        <f t="shared" si="14"/>
        <v>55460</v>
      </c>
      <c r="I105" s="116">
        <f t="shared" si="19"/>
        <v>55785</v>
      </c>
      <c r="J105" s="119">
        <f t="shared" si="20"/>
        <v>60598</v>
      </c>
      <c r="K105" s="119">
        <f t="shared" si="21"/>
        <v>65996</v>
      </c>
      <c r="L105" s="110"/>
      <c r="M105" s="110"/>
      <c r="N105" s="110"/>
      <c r="O105" s="110"/>
      <c r="P105" s="110"/>
      <c r="Q105" s="110"/>
      <c r="R105" s="110"/>
    </row>
    <row r="106" spans="1:23" x14ac:dyDescent="0.3">
      <c r="A106" s="109">
        <v>81</v>
      </c>
      <c r="B106" s="58">
        <f t="shared" si="16"/>
        <v>7268949</v>
      </c>
      <c r="C106" s="116">
        <f t="shared" si="22"/>
        <v>37195</v>
      </c>
      <c r="D106" s="117">
        <f t="shared" si="23"/>
        <v>18265</v>
      </c>
      <c r="E106" s="116">
        <f t="shared" si="24"/>
        <v>39779</v>
      </c>
      <c r="F106" s="116">
        <f t="shared" si="17"/>
        <v>55460</v>
      </c>
      <c r="G106" s="117">
        <f t="shared" si="18"/>
        <v>0</v>
      </c>
      <c r="H106" s="116">
        <f t="shared" si="14"/>
        <v>55460</v>
      </c>
      <c r="I106" s="116">
        <f t="shared" si="19"/>
        <v>55785</v>
      </c>
      <c r="J106" s="119">
        <f t="shared" si="20"/>
        <v>60598</v>
      </c>
      <c r="K106" s="119">
        <f t="shared" si="21"/>
        <v>65996</v>
      </c>
      <c r="L106" s="110"/>
      <c r="M106" s="110"/>
      <c r="N106" s="110"/>
      <c r="O106" s="110"/>
      <c r="P106" s="110"/>
      <c r="Q106" s="110"/>
      <c r="R106" s="110"/>
    </row>
    <row r="107" spans="1:23" x14ac:dyDescent="0.3">
      <c r="A107" s="109">
        <v>82</v>
      </c>
      <c r="B107" s="58">
        <f t="shared" si="16"/>
        <v>7231661</v>
      </c>
      <c r="C107" s="116">
        <f t="shared" si="22"/>
        <v>37288</v>
      </c>
      <c r="D107" s="117">
        <f t="shared" si="23"/>
        <v>18172</v>
      </c>
      <c r="E107" s="116">
        <f t="shared" si="24"/>
        <v>39779</v>
      </c>
      <c r="F107" s="116">
        <f t="shared" si="17"/>
        <v>55460</v>
      </c>
      <c r="G107" s="117">
        <f t="shared" si="18"/>
        <v>0</v>
      </c>
      <c r="H107" s="116">
        <f t="shared" si="14"/>
        <v>55460</v>
      </c>
      <c r="I107" s="116">
        <f t="shared" si="19"/>
        <v>55785</v>
      </c>
      <c r="J107" s="119">
        <f t="shared" si="20"/>
        <v>60598</v>
      </c>
      <c r="K107" s="119">
        <f t="shared" si="21"/>
        <v>65996</v>
      </c>
      <c r="L107" s="110"/>
      <c r="M107" s="110"/>
      <c r="N107" s="110"/>
      <c r="O107" s="110"/>
      <c r="P107" s="110"/>
      <c r="Q107" s="110"/>
      <c r="R107" s="110"/>
    </row>
    <row r="108" spans="1:23" x14ac:dyDescent="0.3">
      <c r="A108" s="109">
        <v>83</v>
      </c>
      <c r="B108" s="58">
        <f t="shared" si="16"/>
        <v>7194280</v>
      </c>
      <c r="C108" s="116">
        <f t="shared" si="22"/>
        <v>37381</v>
      </c>
      <c r="D108" s="117">
        <f t="shared" si="23"/>
        <v>18079</v>
      </c>
      <c r="E108" s="116">
        <f t="shared" si="24"/>
        <v>39779</v>
      </c>
      <c r="F108" s="116">
        <f t="shared" si="17"/>
        <v>55460</v>
      </c>
      <c r="G108" s="117">
        <f t="shared" si="18"/>
        <v>0</v>
      </c>
      <c r="H108" s="116">
        <f t="shared" si="14"/>
        <v>55460</v>
      </c>
      <c r="I108" s="116">
        <f t="shared" si="19"/>
        <v>55785</v>
      </c>
      <c r="J108" s="119">
        <f t="shared" si="20"/>
        <v>60598</v>
      </c>
      <c r="K108" s="119">
        <f t="shared" si="21"/>
        <v>65996</v>
      </c>
      <c r="L108" s="110"/>
      <c r="M108" s="110"/>
      <c r="N108" s="110"/>
      <c r="O108" s="110"/>
      <c r="P108" s="110"/>
      <c r="Q108" s="110"/>
      <c r="R108" s="110"/>
    </row>
    <row r="109" spans="1:23" x14ac:dyDescent="0.3">
      <c r="A109" s="109">
        <v>84</v>
      </c>
      <c r="B109" s="58">
        <f t="shared" si="16"/>
        <v>7156806</v>
      </c>
      <c r="C109" s="116">
        <f t="shared" si="22"/>
        <v>37474</v>
      </c>
      <c r="D109" s="117">
        <f t="shared" si="23"/>
        <v>17986</v>
      </c>
      <c r="E109" s="116">
        <f t="shared" si="24"/>
        <v>39779</v>
      </c>
      <c r="F109" s="116">
        <f t="shared" si="17"/>
        <v>55460</v>
      </c>
      <c r="G109" s="117">
        <f t="shared" si="18"/>
        <v>0</v>
      </c>
      <c r="H109" s="116">
        <f t="shared" si="14"/>
        <v>55460</v>
      </c>
      <c r="I109" s="116">
        <f t="shared" si="19"/>
        <v>55785</v>
      </c>
      <c r="J109" s="119">
        <f t="shared" si="20"/>
        <v>60598</v>
      </c>
      <c r="K109" s="119">
        <f t="shared" si="21"/>
        <v>65996</v>
      </c>
      <c r="L109" s="58">
        <f t="shared" ref="L109:Q109" si="26">SUM(C98:C109)</f>
        <v>443575</v>
      </c>
      <c r="M109" s="58">
        <f t="shared" si="26"/>
        <v>221945</v>
      </c>
      <c r="N109" s="58">
        <f t="shared" si="26"/>
        <v>477348</v>
      </c>
      <c r="O109" s="58">
        <f t="shared" si="26"/>
        <v>665520</v>
      </c>
      <c r="P109" s="58">
        <f t="shared" si="26"/>
        <v>0</v>
      </c>
      <c r="Q109" s="58">
        <f t="shared" si="26"/>
        <v>665520</v>
      </c>
      <c r="R109" s="58">
        <f>SUM(J98:J109)</f>
        <v>727176</v>
      </c>
      <c r="S109" s="29">
        <f>SUM(K98:K109)</f>
        <v>791952</v>
      </c>
      <c r="T109" s="29"/>
      <c r="U109" s="29"/>
      <c r="V109" s="29"/>
      <c r="W109" s="29"/>
    </row>
    <row r="110" spans="1:23" x14ac:dyDescent="0.3">
      <c r="A110" s="109">
        <v>85</v>
      </c>
      <c r="B110" s="58">
        <f t="shared" si="16"/>
        <v>7119238</v>
      </c>
      <c r="C110" s="116">
        <f t="shared" si="22"/>
        <v>37568</v>
      </c>
      <c r="D110" s="117">
        <f t="shared" si="23"/>
        <v>17892</v>
      </c>
      <c r="E110" s="116">
        <f t="shared" si="24"/>
        <v>39779</v>
      </c>
      <c r="F110" s="116">
        <f t="shared" si="17"/>
        <v>55460</v>
      </c>
      <c r="G110" s="117">
        <f t="shared" si="18"/>
        <v>0</v>
      </c>
      <c r="H110" s="116">
        <f t="shared" si="14"/>
        <v>55460</v>
      </c>
      <c r="I110" s="116">
        <f t="shared" si="19"/>
        <v>55785</v>
      </c>
      <c r="J110" s="119">
        <f t="shared" si="20"/>
        <v>60598</v>
      </c>
      <c r="K110" s="119">
        <f t="shared" si="21"/>
        <v>65996</v>
      </c>
      <c r="L110" s="110"/>
      <c r="M110" s="110"/>
      <c r="N110" s="110"/>
      <c r="O110" s="110"/>
      <c r="P110" s="110"/>
      <c r="Q110" s="110"/>
      <c r="R110" s="110"/>
    </row>
    <row r="111" spans="1:23" x14ac:dyDescent="0.3">
      <c r="A111" s="109">
        <v>86</v>
      </c>
      <c r="B111" s="58">
        <f t="shared" si="16"/>
        <v>7081576</v>
      </c>
      <c r="C111" s="116">
        <f t="shared" si="22"/>
        <v>37662</v>
      </c>
      <c r="D111" s="117">
        <f t="shared" si="23"/>
        <v>17798</v>
      </c>
      <c r="E111" s="116">
        <f t="shared" si="24"/>
        <v>39779</v>
      </c>
      <c r="F111" s="116">
        <f t="shared" si="17"/>
        <v>55460</v>
      </c>
      <c r="G111" s="117">
        <f t="shared" si="18"/>
        <v>0</v>
      </c>
      <c r="H111" s="116">
        <f t="shared" si="14"/>
        <v>55460</v>
      </c>
      <c r="I111" s="116">
        <f t="shared" si="19"/>
        <v>55785</v>
      </c>
      <c r="J111" s="119">
        <f t="shared" si="20"/>
        <v>60598</v>
      </c>
      <c r="K111" s="119">
        <f t="shared" si="21"/>
        <v>65996</v>
      </c>
      <c r="L111" s="110"/>
      <c r="M111" s="110"/>
      <c r="N111" s="110"/>
      <c r="O111" s="110"/>
      <c r="P111" s="110"/>
      <c r="Q111" s="110"/>
      <c r="R111" s="110"/>
    </row>
    <row r="112" spans="1:23" x14ac:dyDescent="0.3">
      <c r="A112" s="109">
        <v>87</v>
      </c>
      <c r="B112" s="58">
        <f t="shared" si="16"/>
        <v>7043820</v>
      </c>
      <c r="C112" s="116">
        <f t="shared" si="22"/>
        <v>37756</v>
      </c>
      <c r="D112" s="117">
        <f t="shared" si="23"/>
        <v>17704</v>
      </c>
      <c r="E112" s="116">
        <f t="shared" si="24"/>
        <v>39779</v>
      </c>
      <c r="F112" s="116">
        <f t="shared" si="17"/>
        <v>55460</v>
      </c>
      <c r="G112" s="117">
        <f t="shared" si="18"/>
        <v>0</v>
      </c>
      <c r="H112" s="116">
        <f t="shared" si="14"/>
        <v>55460</v>
      </c>
      <c r="I112" s="116">
        <f t="shared" si="19"/>
        <v>55785</v>
      </c>
      <c r="J112" s="119">
        <f t="shared" si="20"/>
        <v>60598</v>
      </c>
      <c r="K112" s="119">
        <f t="shared" si="21"/>
        <v>65996</v>
      </c>
      <c r="L112" s="110"/>
      <c r="M112" s="110"/>
      <c r="N112" s="110"/>
      <c r="O112" s="110"/>
      <c r="P112" s="110"/>
      <c r="Q112" s="110"/>
      <c r="R112" s="110"/>
    </row>
    <row r="113" spans="1:23" x14ac:dyDescent="0.3">
      <c r="A113" s="109">
        <v>88</v>
      </c>
      <c r="B113" s="58">
        <f t="shared" si="16"/>
        <v>7005970</v>
      </c>
      <c r="C113" s="116">
        <f t="shared" si="22"/>
        <v>37850</v>
      </c>
      <c r="D113" s="117">
        <f t="shared" si="23"/>
        <v>17610</v>
      </c>
      <c r="E113" s="116">
        <f t="shared" si="24"/>
        <v>39779</v>
      </c>
      <c r="F113" s="116">
        <f t="shared" si="17"/>
        <v>55460</v>
      </c>
      <c r="G113" s="117">
        <f t="shared" si="18"/>
        <v>0</v>
      </c>
      <c r="H113" s="116">
        <f t="shared" si="14"/>
        <v>55460</v>
      </c>
      <c r="I113" s="116">
        <f t="shared" si="19"/>
        <v>55785</v>
      </c>
      <c r="J113" s="119">
        <f t="shared" si="20"/>
        <v>60598</v>
      </c>
      <c r="K113" s="119">
        <f t="shared" si="21"/>
        <v>65996</v>
      </c>
      <c r="L113" s="110"/>
      <c r="M113" s="110"/>
      <c r="N113" s="110"/>
      <c r="O113" s="110"/>
      <c r="P113" s="110"/>
      <c r="Q113" s="110"/>
      <c r="R113" s="110"/>
    </row>
    <row r="114" spans="1:23" x14ac:dyDescent="0.3">
      <c r="A114" s="109">
        <v>89</v>
      </c>
      <c r="B114" s="58">
        <f t="shared" si="16"/>
        <v>6968025</v>
      </c>
      <c r="C114" s="116">
        <f t="shared" si="22"/>
        <v>37945</v>
      </c>
      <c r="D114" s="117">
        <f t="shared" si="23"/>
        <v>17515</v>
      </c>
      <c r="E114" s="116">
        <f t="shared" si="24"/>
        <v>39779</v>
      </c>
      <c r="F114" s="116">
        <f t="shared" si="17"/>
        <v>55460</v>
      </c>
      <c r="G114" s="117">
        <f t="shared" si="18"/>
        <v>0</v>
      </c>
      <c r="H114" s="116">
        <f t="shared" si="14"/>
        <v>55460</v>
      </c>
      <c r="I114" s="116">
        <f t="shared" si="19"/>
        <v>55785</v>
      </c>
      <c r="J114" s="119">
        <f t="shared" si="20"/>
        <v>60598</v>
      </c>
      <c r="K114" s="119">
        <f t="shared" si="21"/>
        <v>65996</v>
      </c>
      <c r="L114" s="110"/>
      <c r="M114" s="110"/>
      <c r="N114" s="110"/>
      <c r="O114" s="110"/>
      <c r="P114" s="110"/>
      <c r="Q114" s="110"/>
      <c r="R114" s="110"/>
    </row>
    <row r="115" spans="1:23" x14ac:dyDescent="0.3">
      <c r="A115" s="109">
        <v>90</v>
      </c>
      <c r="B115" s="58">
        <f t="shared" si="16"/>
        <v>6929985</v>
      </c>
      <c r="C115" s="116">
        <f t="shared" si="22"/>
        <v>38040</v>
      </c>
      <c r="D115" s="117">
        <f t="shared" si="23"/>
        <v>17420</v>
      </c>
      <c r="E115" s="116">
        <f t="shared" si="24"/>
        <v>39779</v>
      </c>
      <c r="F115" s="116">
        <f t="shared" si="17"/>
        <v>55460</v>
      </c>
      <c r="G115" s="117">
        <f t="shared" si="18"/>
        <v>0</v>
      </c>
      <c r="H115" s="116">
        <f t="shared" si="14"/>
        <v>55460</v>
      </c>
      <c r="I115" s="116">
        <f t="shared" si="19"/>
        <v>55785</v>
      </c>
      <c r="J115" s="119">
        <f t="shared" si="20"/>
        <v>60598</v>
      </c>
      <c r="K115" s="119">
        <f t="shared" si="21"/>
        <v>65996</v>
      </c>
      <c r="L115" s="110"/>
      <c r="M115" s="110"/>
      <c r="N115" s="110"/>
      <c r="O115" s="110"/>
      <c r="P115" s="110"/>
      <c r="Q115" s="110"/>
      <c r="R115" s="110"/>
    </row>
    <row r="116" spans="1:23" x14ac:dyDescent="0.3">
      <c r="A116" s="109">
        <v>91</v>
      </c>
      <c r="B116" s="58">
        <f t="shared" si="16"/>
        <v>6891850</v>
      </c>
      <c r="C116" s="116">
        <f t="shared" si="22"/>
        <v>38135</v>
      </c>
      <c r="D116" s="117">
        <f t="shared" si="23"/>
        <v>17325</v>
      </c>
      <c r="E116" s="116">
        <f t="shared" si="24"/>
        <v>39779</v>
      </c>
      <c r="F116" s="116">
        <f t="shared" si="17"/>
        <v>55460</v>
      </c>
      <c r="G116" s="117">
        <f t="shared" si="18"/>
        <v>0</v>
      </c>
      <c r="H116" s="116">
        <f t="shared" si="14"/>
        <v>55460</v>
      </c>
      <c r="I116" s="116">
        <f t="shared" si="19"/>
        <v>55785</v>
      </c>
      <c r="J116" s="119">
        <f t="shared" si="20"/>
        <v>60598</v>
      </c>
      <c r="K116" s="119">
        <f t="shared" si="21"/>
        <v>65996</v>
      </c>
      <c r="L116" s="110"/>
      <c r="M116" s="110"/>
      <c r="N116" s="110"/>
      <c r="O116" s="110"/>
      <c r="P116" s="110"/>
      <c r="Q116" s="110"/>
      <c r="R116" s="110"/>
    </row>
    <row r="117" spans="1:23" x14ac:dyDescent="0.3">
      <c r="A117" s="109">
        <v>92</v>
      </c>
      <c r="B117" s="58">
        <f t="shared" si="16"/>
        <v>6853620</v>
      </c>
      <c r="C117" s="116">
        <f t="shared" si="22"/>
        <v>38230</v>
      </c>
      <c r="D117" s="117">
        <f t="shared" si="23"/>
        <v>17230</v>
      </c>
      <c r="E117" s="116">
        <f t="shared" si="24"/>
        <v>39779</v>
      </c>
      <c r="F117" s="116">
        <f t="shared" si="17"/>
        <v>55460</v>
      </c>
      <c r="G117" s="117">
        <f t="shared" si="18"/>
        <v>0</v>
      </c>
      <c r="H117" s="116">
        <f t="shared" si="14"/>
        <v>55460</v>
      </c>
      <c r="I117" s="116">
        <f t="shared" si="19"/>
        <v>55785</v>
      </c>
      <c r="J117" s="119">
        <f t="shared" si="20"/>
        <v>60598</v>
      </c>
      <c r="K117" s="119">
        <f t="shared" si="21"/>
        <v>65996</v>
      </c>
      <c r="L117" s="110"/>
      <c r="M117" s="110"/>
      <c r="N117" s="110"/>
      <c r="O117" s="110"/>
      <c r="P117" s="110"/>
      <c r="Q117" s="110"/>
      <c r="R117" s="110"/>
    </row>
    <row r="118" spans="1:23" x14ac:dyDescent="0.3">
      <c r="A118" s="109">
        <v>93</v>
      </c>
      <c r="B118" s="58">
        <f t="shared" si="16"/>
        <v>6815294</v>
      </c>
      <c r="C118" s="116">
        <f t="shared" si="22"/>
        <v>38326</v>
      </c>
      <c r="D118" s="117">
        <f t="shared" si="23"/>
        <v>17134</v>
      </c>
      <c r="E118" s="116">
        <f t="shared" si="24"/>
        <v>39779</v>
      </c>
      <c r="F118" s="116">
        <f t="shared" si="17"/>
        <v>55460</v>
      </c>
      <c r="G118" s="117">
        <f t="shared" si="18"/>
        <v>0</v>
      </c>
      <c r="H118" s="116">
        <f t="shared" si="14"/>
        <v>55460</v>
      </c>
      <c r="I118" s="116">
        <f t="shared" si="19"/>
        <v>55785</v>
      </c>
      <c r="J118" s="119">
        <f t="shared" si="20"/>
        <v>60598</v>
      </c>
      <c r="K118" s="119">
        <f t="shared" si="21"/>
        <v>65996</v>
      </c>
      <c r="L118" s="110"/>
      <c r="M118" s="110"/>
      <c r="N118" s="110"/>
      <c r="O118" s="110"/>
      <c r="P118" s="110"/>
      <c r="Q118" s="110"/>
      <c r="R118" s="110"/>
    </row>
    <row r="119" spans="1:23" x14ac:dyDescent="0.3">
      <c r="A119" s="109">
        <v>94</v>
      </c>
      <c r="B119" s="58">
        <f t="shared" si="16"/>
        <v>6776872</v>
      </c>
      <c r="C119" s="116">
        <f t="shared" si="22"/>
        <v>38422</v>
      </c>
      <c r="D119" s="117">
        <f t="shared" si="23"/>
        <v>17038</v>
      </c>
      <c r="E119" s="116">
        <f t="shared" si="24"/>
        <v>39779</v>
      </c>
      <c r="F119" s="116">
        <f t="shared" si="17"/>
        <v>55460</v>
      </c>
      <c r="G119" s="117">
        <f t="shared" si="18"/>
        <v>0</v>
      </c>
      <c r="H119" s="116">
        <f t="shared" si="14"/>
        <v>55460</v>
      </c>
      <c r="I119" s="116">
        <f t="shared" si="19"/>
        <v>55785</v>
      </c>
      <c r="J119" s="119">
        <f t="shared" si="20"/>
        <v>60598</v>
      </c>
      <c r="K119" s="119">
        <f t="shared" si="21"/>
        <v>65996</v>
      </c>
      <c r="L119" s="110"/>
      <c r="M119" s="110"/>
      <c r="N119" s="110"/>
      <c r="O119" s="110"/>
      <c r="P119" s="110"/>
      <c r="Q119" s="110"/>
      <c r="R119" s="110"/>
    </row>
    <row r="120" spans="1:23" x14ac:dyDescent="0.3">
      <c r="A120" s="109">
        <v>95</v>
      </c>
      <c r="B120" s="58">
        <f t="shared" si="16"/>
        <v>6738354</v>
      </c>
      <c r="C120" s="116">
        <f t="shared" si="22"/>
        <v>38518</v>
      </c>
      <c r="D120" s="117">
        <f t="shared" si="23"/>
        <v>16942</v>
      </c>
      <c r="E120" s="116">
        <f t="shared" si="24"/>
        <v>39779</v>
      </c>
      <c r="F120" s="116">
        <f t="shared" si="17"/>
        <v>55460</v>
      </c>
      <c r="G120" s="117">
        <f t="shared" si="18"/>
        <v>0</v>
      </c>
      <c r="H120" s="116">
        <f t="shared" si="14"/>
        <v>55460</v>
      </c>
      <c r="I120" s="116">
        <f t="shared" si="19"/>
        <v>55785</v>
      </c>
      <c r="J120" s="119">
        <f t="shared" si="20"/>
        <v>60598</v>
      </c>
      <c r="K120" s="119">
        <f t="shared" si="21"/>
        <v>65996</v>
      </c>
      <c r="L120" s="110"/>
      <c r="M120" s="110"/>
      <c r="N120" s="110"/>
      <c r="O120" s="110"/>
      <c r="P120" s="110"/>
      <c r="Q120" s="110"/>
      <c r="R120" s="110"/>
    </row>
    <row r="121" spans="1:23" x14ac:dyDescent="0.3">
      <c r="A121" s="109">
        <v>96</v>
      </c>
      <c r="B121" s="58">
        <f t="shared" si="16"/>
        <v>6699740</v>
      </c>
      <c r="C121" s="116">
        <f t="shared" si="22"/>
        <v>38614</v>
      </c>
      <c r="D121" s="117">
        <f t="shared" si="23"/>
        <v>16846</v>
      </c>
      <c r="E121" s="116">
        <f t="shared" si="24"/>
        <v>39779</v>
      </c>
      <c r="F121" s="116">
        <f t="shared" si="17"/>
        <v>55460</v>
      </c>
      <c r="G121" s="117">
        <f t="shared" si="18"/>
        <v>0</v>
      </c>
      <c r="H121" s="116">
        <f t="shared" si="14"/>
        <v>55460</v>
      </c>
      <c r="I121" s="116">
        <f t="shared" si="19"/>
        <v>55785</v>
      </c>
      <c r="J121" s="119">
        <f t="shared" si="20"/>
        <v>60598</v>
      </c>
      <c r="K121" s="119">
        <f t="shared" si="21"/>
        <v>65996</v>
      </c>
      <c r="L121" s="58">
        <f t="shared" ref="L121:Q121" si="27">SUM(C110:C121)</f>
        <v>457066</v>
      </c>
      <c r="M121" s="58">
        <f t="shared" si="27"/>
        <v>208454</v>
      </c>
      <c r="N121" s="58">
        <f t="shared" si="27"/>
        <v>477348</v>
      </c>
      <c r="O121" s="58">
        <f t="shared" si="27"/>
        <v>665520</v>
      </c>
      <c r="P121" s="58">
        <f t="shared" si="27"/>
        <v>0</v>
      </c>
      <c r="Q121" s="58">
        <f t="shared" si="27"/>
        <v>665520</v>
      </c>
      <c r="R121" s="58">
        <f>SUM(J110:J121)</f>
        <v>727176</v>
      </c>
      <c r="S121" s="29">
        <f>SUM(K110:K121)</f>
        <v>791952</v>
      </c>
      <c r="T121" s="29"/>
      <c r="U121" s="29"/>
      <c r="V121" s="29"/>
      <c r="W121" s="29"/>
    </row>
    <row r="122" spans="1:23" x14ac:dyDescent="0.3">
      <c r="A122" s="109">
        <v>97</v>
      </c>
      <c r="B122" s="58">
        <f t="shared" si="16"/>
        <v>6661029</v>
      </c>
      <c r="C122" s="116">
        <f t="shared" si="22"/>
        <v>38711</v>
      </c>
      <c r="D122" s="117">
        <f t="shared" si="23"/>
        <v>16749</v>
      </c>
      <c r="E122" s="116">
        <f t="shared" si="24"/>
        <v>39779</v>
      </c>
      <c r="F122" s="116">
        <f t="shared" si="17"/>
        <v>55460</v>
      </c>
      <c r="G122" s="117">
        <f t="shared" si="18"/>
        <v>0</v>
      </c>
      <c r="H122" s="116">
        <f t="shared" si="14"/>
        <v>55460</v>
      </c>
      <c r="I122" s="116">
        <f t="shared" si="19"/>
        <v>55785</v>
      </c>
      <c r="J122" s="119">
        <f t="shared" si="20"/>
        <v>60598</v>
      </c>
      <c r="K122" s="119">
        <f t="shared" si="21"/>
        <v>65996</v>
      </c>
      <c r="L122" s="110"/>
      <c r="M122" s="110"/>
      <c r="N122" s="110"/>
      <c r="O122" s="110"/>
      <c r="P122" s="110"/>
      <c r="Q122" s="110"/>
      <c r="R122" s="110"/>
    </row>
    <row r="123" spans="1:23" x14ac:dyDescent="0.3">
      <c r="A123" s="109">
        <v>98</v>
      </c>
      <c r="B123" s="58">
        <f t="shared" si="16"/>
        <v>6622222</v>
      </c>
      <c r="C123" s="116">
        <f t="shared" si="22"/>
        <v>38807</v>
      </c>
      <c r="D123" s="117">
        <f t="shared" si="23"/>
        <v>16653</v>
      </c>
      <c r="E123" s="116">
        <f t="shared" si="24"/>
        <v>39779</v>
      </c>
      <c r="F123" s="116">
        <f t="shared" si="17"/>
        <v>55460</v>
      </c>
      <c r="G123" s="117">
        <f t="shared" si="18"/>
        <v>0</v>
      </c>
      <c r="H123" s="116">
        <f t="shared" si="14"/>
        <v>55460</v>
      </c>
      <c r="I123" s="116">
        <f t="shared" si="19"/>
        <v>55785</v>
      </c>
      <c r="J123" s="119">
        <f t="shared" si="20"/>
        <v>60598</v>
      </c>
      <c r="K123" s="119">
        <f t="shared" si="21"/>
        <v>65996</v>
      </c>
      <c r="L123" s="110"/>
      <c r="M123" s="110"/>
      <c r="N123" s="110"/>
      <c r="O123" s="110"/>
      <c r="P123" s="110"/>
      <c r="Q123" s="110"/>
      <c r="R123" s="110"/>
    </row>
    <row r="124" spans="1:23" x14ac:dyDescent="0.3">
      <c r="A124" s="109">
        <v>99</v>
      </c>
      <c r="B124" s="58">
        <f t="shared" si="16"/>
        <v>6583318</v>
      </c>
      <c r="C124" s="116">
        <f t="shared" si="22"/>
        <v>38904</v>
      </c>
      <c r="D124" s="117">
        <f t="shared" si="23"/>
        <v>16556</v>
      </c>
      <c r="E124" s="116">
        <f t="shared" si="24"/>
        <v>39779</v>
      </c>
      <c r="F124" s="116">
        <f t="shared" si="17"/>
        <v>55460</v>
      </c>
      <c r="G124" s="117">
        <f t="shared" si="18"/>
        <v>0</v>
      </c>
      <c r="H124" s="116">
        <f t="shared" si="14"/>
        <v>55460</v>
      </c>
      <c r="I124" s="116">
        <f t="shared" si="19"/>
        <v>55785</v>
      </c>
      <c r="J124" s="119">
        <f t="shared" si="20"/>
        <v>60598</v>
      </c>
      <c r="K124" s="119">
        <f t="shared" si="21"/>
        <v>65996</v>
      </c>
      <c r="L124" s="110"/>
      <c r="M124" s="110"/>
      <c r="N124" s="110"/>
      <c r="O124" s="110"/>
      <c r="P124" s="110"/>
      <c r="Q124" s="110"/>
      <c r="R124" s="110"/>
    </row>
    <row r="125" spans="1:23" x14ac:dyDescent="0.3">
      <c r="A125" s="109">
        <v>100</v>
      </c>
      <c r="B125" s="58">
        <f t="shared" si="16"/>
        <v>6544316</v>
      </c>
      <c r="C125" s="116">
        <f t="shared" si="22"/>
        <v>39002</v>
      </c>
      <c r="D125" s="117">
        <f t="shared" si="23"/>
        <v>16458</v>
      </c>
      <c r="E125" s="116">
        <f t="shared" si="24"/>
        <v>39779</v>
      </c>
      <c r="F125" s="116">
        <f t="shared" si="17"/>
        <v>55460</v>
      </c>
      <c r="G125" s="117">
        <f t="shared" si="18"/>
        <v>0</v>
      </c>
      <c r="H125" s="116">
        <f t="shared" si="14"/>
        <v>55460</v>
      </c>
      <c r="I125" s="116">
        <f t="shared" si="19"/>
        <v>55785</v>
      </c>
      <c r="J125" s="119">
        <f t="shared" si="20"/>
        <v>60598</v>
      </c>
      <c r="K125" s="119">
        <f t="shared" si="21"/>
        <v>65996</v>
      </c>
      <c r="L125" s="110"/>
      <c r="M125" s="110"/>
      <c r="N125" s="110"/>
      <c r="O125" s="110"/>
      <c r="P125" s="110"/>
      <c r="Q125" s="110"/>
      <c r="R125" s="110"/>
    </row>
    <row r="126" spans="1:23" x14ac:dyDescent="0.3">
      <c r="A126" s="109">
        <v>101</v>
      </c>
      <c r="B126" s="58">
        <f t="shared" si="16"/>
        <v>6505217</v>
      </c>
      <c r="C126" s="116">
        <f t="shared" si="22"/>
        <v>39099</v>
      </c>
      <c r="D126" s="117">
        <f t="shared" si="23"/>
        <v>16361</v>
      </c>
      <c r="E126" s="116">
        <f t="shared" si="24"/>
        <v>39779</v>
      </c>
      <c r="F126" s="116">
        <f t="shared" si="17"/>
        <v>55460</v>
      </c>
      <c r="G126" s="117">
        <f t="shared" si="18"/>
        <v>0</v>
      </c>
      <c r="H126" s="116">
        <f t="shared" si="14"/>
        <v>55460</v>
      </c>
      <c r="I126" s="116">
        <f t="shared" si="19"/>
        <v>55785</v>
      </c>
      <c r="J126" s="119">
        <f t="shared" si="20"/>
        <v>60598</v>
      </c>
      <c r="K126" s="119">
        <f t="shared" si="21"/>
        <v>65996</v>
      </c>
      <c r="L126" s="110"/>
      <c r="M126" s="110"/>
      <c r="N126" s="110"/>
      <c r="O126" s="110"/>
      <c r="P126" s="110"/>
      <c r="Q126" s="110"/>
      <c r="R126" s="110"/>
    </row>
    <row r="127" spans="1:23" x14ac:dyDescent="0.3">
      <c r="A127" s="109">
        <v>102</v>
      </c>
      <c r="B127" s="58">
        <f t="shared" si="16"/>
        <v>6466020</v>
      </c>
      <c r="C127" s="116">
        <f t="shared" si="22"/>
        <v>39197</v>
      </c>
      <c r="D127" s="117">
        <f t="shared" si="23"/>
        <v>16263</v>
      </c>
      <c r="E127" s="116">
        <f t="shared" si="24"/>
        <v>39779</v>
      </c>
      <c r="F127" s="116">
        <f t="shared" si="17"/>
        <v>55460</v>
      </c>
      <c r="G127" s="117">
        <f t="shared" si="18"/>
        <v>0</v>
      </c>
      <c r="H127" s="116">
        <f t="shared" si="14"/>
        <v>55460</v>
      </c>
      <c r="I127" s="116">
        <f t="shared" si="19"/>
        <v>55785</v>
      </c>
      <c r="J127" s="119">
        <f t="shared" si="20"/>
        <v>60598</v>
      </c>
      <c r="K127" s="119">
        <f t="shared" si="21"/>
        <v>65996</v>
      </c>
      <c r="L127" s="110"/>
      <c r="M127" s="110"/>
      <c r="N127" s="110"/>
      <c r="O127" s="110"/>
      <c r="P127" s="110"/>
      <c r="Q127" s="110"/>
      <c r="R127" s="110"/>
    </row>
    <row r="128" spans="1:23" x14ac:dyDescent="0.3">
      <c r="A128" s="109">
        <v>103</v>
      </c>
      <c r="B128" s="58">
        <f t="shared" si="16"/>
        <v>6426725</v>
      </c>
      <c r="C128" s="116">
        <f t="shared" si="22"/>
        <v>39295</v>
      </c>
      <c r="D128" s="117">
        <f t="shared" si="23"/>
        <v>16165</v>
      </c>
      <c r="E128" s="116">
        <f t="shared" si="24"/>
        <v>39779</v>
      </c>
      <c r="F128" s="116">
        <f t="shared" si="17"/>
        <v>55460</v>
      </c>
      <c r="G128" s="117">
        <f t="shared" si="18"/>
        <v>0</v>
      </c>
      <c r="H128" s="116">
        <f t="shared" si="14"/>
        <v>55460</v>
      </c>
      <c r="I128" s="116">
        <f t="shared" si="19"/>
        <v>55785</v>
      </c>
      <c r="J128" s="119">
        <f t="shared" si="20"/>
        <v>60598</v>
      </c>
      <c r="K128" s="119">
        <f t="shared" si="21"/>
        <v>65996</v>
      </c>
      <c r="L128" s="110"/>
      <c r="M128" s="110"/>
      <c r="N128" s="110"/>
      <c r="O128" s="110"/>
      <c r="P128" s="110"/>
      <c r="Q128" s="110"/>
      <c r="R128" s="110"/>
    </row>
    <row r="129" spans="1:23" x14ac:dyDescent="0.3">
      <c r="A129" s="109">
        <v>104</v>
      </c>
      <c r="B129" s="58">
        <f t="shared" si="16"/>
        <v>6387332</v>
      </c>
      <c r="C129" s="116">
        <f t="shared" si="22"/>
        <v>39393</v>
      </c>
      <c r="D129" s="117">
        <f t="shared" si="23"/>
        <v>16067</v>
      </c>
      <c r="E129" s="116">
        <f t="shared" si="24"/>
        <v>39779</v>
      </c>
      <c r="F129" s="116">
        <f t="shared" si="17"/>
        <v>55460</v>
      </c>
      <c r="G129" s="117">
        <f t="shared" si="18"/>
        <v>0</v>
      </c>
      <c r="H129" s="116">
        <f t="shared" si="14"/>
        <v>55460</v>
      </c>
      <c r="I129" s="116">
        <f t="shared" si="19"/>
        <v>55785</v>
      </c>
      <c r="J129" s="119">
        <f t="shared" si="20"/>
        <v>60598</v>
      </c>
      <c r="K129" s="119">
        <f t="shared" si="21"/>
        <v>65996</v>
      </c>
      <c r="L129" s="110"/>
      <c r="M129" s="110"/>
      <c r="N129" s="110"/>
      <c r="O129" s="110"/>
      <c r="P129" s="110"/>
      <c r="Q129" s="110"/>
      <c r="R129" s="110"/>
    </row>
    <row r="130" spans="1:23" x14ac:dyDescent="0.3">
      <c r="A130" s="109">
        <v>105</v>
      </c>
      <c r="B130" s="58">
        <f t="shared" si="16"/>
        <v>6347840</v>
      </c>
      <c r="C130" s="116">
        <f t="shared" si="22"/>
        <v>39492</v>
      </c>
      <c r="D130" s="117">
        <f t="shared" si="23"/>
        <v>15968</v>
      </c>
      <c r="E130" s="116">
        <f t="shared" si="24"/>
        <v>39779</v>
      </c>
      <c r="F130" s="116">
        <f t="shared" si="17"/>
        <v>55460</v>
      </c>
      <c r="G130" s="117">
        <f t="shared" si="18"/>
        <v>0</v>
      </c>
      <c r="H130" s="116">
        <f t="shared" si="14"/>
        <v>55460</v>
      </c>
      <c r="I130" s="116">
        <f t="shared" si="19"/>
        <v>55785</v>
      </c>
      <c r="J130" s="119">
        <f t="shared" si="20"/>
        <v>60598</v>
      </c>
      <c r="K130" s="119">
        <f t="shared" si="21"/>
        <v>65996</v>
      </c>
      <c r="L130" s="110"/>
      <c r="M130" s="110"/>
      <c r="N130" s="110"/>
      <c r="O130" s="110"/>
      <c r="P130" s="110"/>
      <c r="Q130" s="110"/>
      <c r="R130" s="110"/>
    </row>
    <row r="131" spans="1:23" x14ac:dyDescent="0.3">
      <c r="A131" s="109">
        <v>106</v>
      </c>
      <c r="B131" s="58">
        <f t="shared" si="16"/>
        <v>6308250</v>
      </c>
      <c r="C131" s="116">
        <f t="shared" si="22"/>
        <v>39590</v>
      </c>
      <c r="D131" s="117">
        <f t="shared" si="23"/>
        <v>15870</v>
      </c>
      <c r="E131" s="116">
        <f t="shared" si="24"/>
        <v>39779</v>
      </c>
      <c r="F131" s="116">
        <f t="shared" si="17"/>
        <v>55460</v>
      </c>
      <c r="G131" s="117">
        <f t="shared" si="18"/>
        <v>0</v>
      </c>
      <c r="H131" s="116">
        <f t="shared" si="14"/>
        <v>55460</v>
      </c>
      <c r="I131" s="116">
        <f t="shared" si="19"/>
        <v>55785</v>
      </c>
      <c r="J131" s="119">
        <f t="shared" si="20"/>
        <v>60598</v>
      </c>
      <c r="K131" s="119">
        <f t="shared" si="21"/>
        <v>65996</v>
      </c>
      <c r="L131" s="110"/>
      <c r="M131" s="110"/>
      <c r="N131" s="110"/>
      <c r="O131" s="110"/>
      <c r="P131" s="110"/>
      <c r="Q131" s="110"/>
      <c r="R131" s="110"/>
    </row>
    <row r="132" spans="1:23" x14ac:dyDescent="0.3">
      <c r="A132" s="109">
        <v>107</v>
      </c>
      <c r="B132" s="58">
        <f t="shared" si="16"/>
        <v>6268561</v>
      </c>
      <c r="C132" s="116">
        <f t="shared" si="22"/>
        <v>39689</v>
      </c>
      <c r="D132" s="117">
        <f t="shared" si="23"/>
        <v>15771</v>
      </c>
      <c r="E132" s="116">
        <f t="shared" si="24"/>
        <v>39779</v>
      </c>
      <c r="F132" s="116">
        <f t="shared" si="17"/>
        <v>55460</v>
      </c>
      <c r="G132" s="117">
        <f t="shared" si="18"/>
        <v>0</v>
      </c>
      <c r="H132" s="116">
        <f t="shared" si="14"/>
        <v>55460</v>
      </c>
      <c r="I132" s="116">
        <f t="shared" si="19"/>
        <v>55785</v>
      </c>
      <c r="J132" s="119">
        <f t="shared" si="20"/>
        <v>60598</v>
      </c>
      <c r="K132" s="119">
        <f t="shared" si="21"/>
        <v>65996</v>
      </c>
      <c r="L132" s="110"/>
      <c r="M132" s="110"/>
      <c r="N132" s="110"/>
      <c r="O132" s="110"/>
      <c r="P132" s="110"/>
      <c r="Q132" s="110"/>
      <c r="R132" s="110"/>
    </row>
    <row r="133" spans="1:23" x14ac:dyDescent="0.3">
      <c r="A133" s="109">
        <v>108</v>
      </c>
      <c r="B133" s="58">
        <f t="shared" si="16"/>
        <v>6228772</v>
      </c>
      <c r="C133" s="116">
        <f t="shared" si="22"/>
        <v>39789</v>
      </c>
      <c r="D133" s="117">
        <f t="shared" si="23"/>
        <v>15671</v>
      </c>
      <c r="E133" s="116">
        <f t="shared" si="24"/>
        <v>39779</v>
      </c>
      <c r="F133" s="116">
        <f t="shared" si="17"/>
        <v>55460</v>
      </c>
      <c r="G133" s="117">
        <f t="shared" si="18"/>
        <v>0</v>
      </c>
      <c r="H133" s="116">
        <f t="shared" si="14"/>
        <v>55460</v>
      </c>
      <c r="I133" s="116">
        <f t="shared" si="19"/>
        <v>55785</v>
      </c>
      <c r="J133" s="119">
        <f t="shared" si="20"/>
        <v>60598</v>
      </c>
      <c r="K133" s="119">
        <f t="shared" si="21"/>
        <v>65996</v>
      </c>
      <c r="L133" s="58">
        <f t="shared" ref="L133:Q133" si="28">SUM(C122:C133)</f>
        <v>470968</v>
      </c>
      <c r="M133" s="58">
        <f t="shared" si="28"/>
        <v>194552</v>
      </c>
      <c r="N133" s="58">
        <f t="shared" si="28"/>
        <v>477348</v>
      </c>
      <c r="O133" s="58">
        <f t="shared" si="28"/>
        <v>665520</v>
      </c>
      <c r="P133" s="58">
        <f t="shared" si="28"/>
        <v>0</v>
      </c>
      <c r="Q133" s="58">
        <f t="shared" si="28"/>
        <v>665520</v>
      </c>
      <c r="R133" s="58">
        <f>SUM(J122:J133)</f>
        <v>727176</v>
      </c>
      <c r="S133" s="29">
        <f>SUM(K122:K133)</f>
        <v>791952</v>
      </c>
      <c r="T133" s="29"/>
      <c r="U133" s="29"/>
      <c r="V133" s="29"/>
      <c r="W133" s="29"/>
    </row>
    <row r="134" spans="1:23" x14ac:dyDescent="0.3">
      <c r="A134" s="109">
        <v>109</v>
      </c>
      <c r="B134" s="58">
        <f t="shared" si="16"/>
        <v>6188884</v>
      </c>
      <c r="C134" s="116">
        <f t="shared" si="22"/>
        <v>39888</v>
      </c>
      <c r="D134" s="117">
        <f t="shared" si="23"/>
        <v>15572</v>
      </c>
      <c r="E134" s="116">
        <f t="shared" si="24"/>
        <v>39779</v>
      </c>
      <c r="F134" s="116">
        <f t="shared" si="17"/>
        <v>55460</v>
      </c>
      <c r="G134" s="117">
        <f t="shared" si="18"/>
        <v>0</v>
      </c>
      <c r="H134" s="116">
        <f t="shared" si="14"/>
        <v>55460</v>
      </c>
      <c r="I134" s="116">
        <f t="shared" si="19"/>
        <v>55785</v>
      </c>
      <c r="J134" s="119">
        <f t="shared" si="20"/>
        <v>60598</v>
      </c>
      <c r="K134" s="119">
        <f t="shared" si="21"/>
        <v>65996</v>
      </c>
      <c r="L134" s="110"/>
      <c r="M134" s="110"/>
      <c r="N134" s="110"/>
      <c r="O134" s="110"/>
      <c r="P134" s="110"/>
      <c r="Q134" s="110"/>
      <c r="R134" s="110"/>
    </row>
    <row r="135" spans="1:23" x14ac:dyDescent="0.3">
      <c r="A135" s="109">
        <v>110</v>
      </c>
      <c r="B135" s="58">
        <f t="shared" si="16"/>
        <v>6148896</v>
      </c>
      <c r="C135" s="116">
        <f t="shared" si="22"/>
        <v>39988</v>
      </c>
      <c r="D135" s="117">
        <f t="shared" si="23"/>
        <v>15472</v>
      </c>
      <c r="E135" s="116">
        <f t="shared" si="24"/>
        <v>39779</v>
      </c>
      <c r="F135" s="116">
        <f t="shared" si="17"/>
        <v>55460</v>
      </c>
      <c r="G135" s="117">
        <f t="shared" si="18"/>
        <v>0</v>
      </c>
      <c r="H135" s="116">
        <f t="shared" si="14"/>
        <v>55460</v>
      </c>
      <c r="I135" s="116">
        <f t="shared" si="19"/>
        <v>55785</v>
      </c>
      <c r="J135" s="119">
        <f t="shared" si="20"/>
        <v>60598</v>
      </c>
      <c r="K135" s="119">
        <f t="shared" si="21"/>
        <v>65996</v>
      </c>
      <c r="L135" s="110"/>
      <c r="M135" s="110"/>
      <c r="N135" s="110"/>
      <c r="O135" s="110"/>
      <c r="P135" s="110"/>
      <c r="Q135" s="110"/>
      <c r="R135" s="110"/>
    </row>
    <row r="136" spans="1:23" x14ac:dyDescent="0.3">
      <c r="A136" s="109">
        <v>111</v>
      </c>
      <c r="B136" s="58">
        <f t="shared" si="16"/>
        <v>6108808</v>
      </c>
      <c r="C136" s="116">
        <f t="shared" si="22"/>
        <v>40088</v>
      </c>
      <c r="D136" s="117">
        <f t="shared" si="23"/>
        <v>15372</v>
      </c>
      <c r="E136" s="116">
        <f t="shared" si="24"/>
        <v>39779</v>
      </c>
      <c r="F136" s="116">
        <f t="shared" si="17"/>
        <v>55460</v>
      </c>
      <c r="G136" s="117">
        <f t="shared" si="18"/>
        <v>0</v>
      </c>
      <c r="H136" s="116">
        <f t="shared" si="14"/>
        <v>55460</v>
      </c>
      <c r="I136" s="116">
        <f t="shared" si="19"/>
        <v>55785</v>
      </c>
      <c r="J136" s="119">
        <f t="shared" si="20"/>
        <v>60598</v>
      </c>
      <c r="K136" s="119">
        <f t="shared" si="21"/>
        <v>65996</v>
      </c>
      <c r="L136" s="110"/>
      <c r="M136" s="110"/>
      <c r="N136" s="110"/>
      <c r="O136" s="110"/>
      <c r="P136" s="110"/>
      <c r="Q136" s="110"/>
      <c r="R136" s="110"/>
    </row>
    <row r="137" spans="1:23" x14ac:dyDescent="0.3">
      <c r="A137" s="109">
        <v>112</v>
      </c>
      <c r="B137" s="58">
        <f t="shared" si="16"/>
        <v>6068620</v>
      </c>
      <c r="C137" s="116">
        <f t="shared" si="22"/>
        <v>40188</v>
      </c>
      <c r="D137" s="117">
        <f t="shared" si="23"/>
        <v>15272</v>
      </c>
      <c r="E137" s="116">
        <f t="shared" si="24"/>
        <v>39779</v>
      </c>
      <c r="F137" s="116">
        <f t="shared" si="17"/>
        <v>55460</v>
      </c>
      <c r="G137" s="117">
        <f t="shared" si="18"/>
        <v>0</v>
      </c>
      <c r="H137" s="116">
        <f t="shared" si="14"/>
        <v>55460</v>
      </c>
      <c r="I137" s="116">
        <f t="shared" si="19"/>
        <v>55785</v>
      </c>
      <c r="J137" s="119">
        <f t="shared" si="20"/>
        <v>60598</v>
      </c>
      <c r="K137" s="119">
        <f t="shared" si="21"/>
        <v>65996</v>
      </c>
      <c r="L137" s="110"/>
      <c r="M137" s="110"/>
      <c r="N137" s="110"/>
      <c r="O137" s="110"/>
      <c r="P137" s="110"/>
      <c r="Q137" s="110"/>
      <c r="R137" s="110"/>
    </row>
    <row r="138" spans="1:23" x14ac:dyDescent="0.3">
      <c r="A138" s="109">
        <v>113</v>
      </c>
      <c r="B138" s="58">
        <f t="shared" si="16"/>
        <v>6028332</v>
      </c>
      <c r="C138" s="116">
        <f t="shared" si="22"/>
        <v>40288</v>
      </c>
      <c r="D138" s="117">
        <f t="shared" si="23"/>
        <v>15172</v>
      </c>
      <c r="E138" s="116">
        <f t="shared" si="24"/>
        <v>39779</v>
      </c>
      <c r="F138" s="116">
        <f t="shared" si="17"/>
        <v>55460</v>
      </c>
      <c r="G138" s="117">
        <f t="shared" si="18"/>
        <v>0</v>
      </c>
      <c r="H138" s="116">
        <f t="shared" si="14"/>
        <v>55460</v>
      </c>
      <c r="I138" s="116">
        <f t="shared" si="19"/>
        <v>55785</v>
      </c>
      <c r="J138" s="119">
        <f t="shared" si="20"/>
        <v>60598</v>
      </c>
      <c r="K138" s="119">
        <f t="shared" si="21"/>
        <v>65996</v>
      </c>
      <c r="L138" s="110"/>
      <c r="M138" s="110"/>
      <c r="N138" s="110"/>
      <c r="O138" s="110"/>
      <c r="P138" s="110"/>
      <c r="Q138" s="110"/>
      <c r="R138" s="110"/>
    </row>
    <row r="139" spans="1:23" x14ac:dyDescent="0.3">
      <c r="A139" s="109">
        <v>114</v>
      </c>
      <c r="B139" s="58">
        <f t="shared" si="16"/>
        <v>5987943</v>
      </c>
      <c r="C139" s="116">
        <f t="shared" si="22"/>
        <v>40389</v>
      </c>
      <c r="D139" s="117">
        <f t="shared" si="23"/>
        <v>15071</v>
      </c>
      <c r="E139" s="116">
        <f t="shared" si="24"/>
        <v>39779</v>
      </c>
      <c r="F139" s="116">
        <f t="shared" si="17"/>
        <v>55460</v>
      </c>
      <c r="G139" s="117">
        <f t="shared" si="18"/>
        <v>0</v>
      </c>
      <c r="H139" s="116">
        <f t="shared" si="14"/>
        <v>55460</v>
      </c>
      <c r="I139" s="116">
        <f t="shared" si="19"/>
        <v>55785</v>
      </c>
      <c r="J139" s="119">
        <f t="shared" si="20"/>
        <v>60598</v>
      </c>
      <c r="K139" s="119">
        <f t="shared" si="21"/>
        <v>65996</v>
      </c>
      <c r="L139" s="110"/>
      <c r="M139" s="110"/>
      <c r="N139" s="110"/>
      <c r="O139" s="110"/>
      <c r="P139" s="110"/>
      <c r="Q139" s="110"/>
      <c r="R139" s="110"/>
    </row>
    <row r="140" spans="1:23" x14ac:dyDescent="0.3">
      <c r="A140" s="109">
        <v>115</v>
      </c>
      <c r="B140" s="58">
        <f t="shared" si="16"/>
        <v>5947453</v>
      </c>
      <c r="C140" s="116">
        <f t="shared" si="22"/>
        <v>40490</v>
      </c>
      <c r="D140" s="117">
        <f t="shared" si="23"/>
        <v>14970</v>
      </c>
      <c r="E140" s="116">
        <f t="shared" si="24"/>
        <v>39779</v>
      </c>
      <c r="F140" s="116">
        <f t="shared" si="17"/>
        <v>55460</v>
      </c>
      <c r="G140" s="117">
        <f t="shared" si="18"/>
        <v>0</v>
      </c>
      <c r="H140" s="116">
        <f t="shared" si="14"/>
        <v>55460</v>
      </c>
      <c r="I140" s="116">
        <f t="shared" si="19"/>
        <v>55785</v>
      </c>
      <c r="J140" s="119">
        <f t="shared" si="20"/>
        <v>60598</v>
      </c>
      <c r="K140" s="119">
        <f t="shared" si="21"/>
        <v>65996</v>
      </c>
      <c r="L140" s="110"/>
      <c r="M140" s="110"/>
      <c r="N140" s="110"/>
      <c r="O140" s="110"/>
      <c r="P140" s="110"/>
      <c r="Q140" s="110"/>
      <c r="R140" s="110"/>
    </row>
    <row r="141" spans="1:23" x14ac:dyDescent="0.3">
      <c r="A141" s="109">
        <v>116</v>
      </c>
      <c r="B141" s="58">
        <f t="shared" si="16"/>
        <v>5906862</v>
      </c>
      <c r="C141" s="116">
        <f t="shared" si="22"/>
        <v>40591</v>
      </c>
      <c r="D141" s="117">
        <f t="shared" si="23"/>
        <v>14869</v>
      </c>
      <c r="E141" s="116">
        <f t="shared" si="24"/>
        <v>39779</v>
      </c>
      <c r="F141" s="116">
        <f t="shared" si="17"/>
        <v>55460</v>
      </c>
      <c r="G141" s="117">
        <f t="shared" si="18"/>
        <v>0</v>
      </c>
      <c r="H141" s="116">
        <f t="shared" si="14"/>
        <v>55460</v>
      </c>
      <c r="I141" s="116">
        <f t="shared" si="19"/>
        <v>55785</v>
      </c>
      <c r="J141" s="119">
        <f t="shared" si="20"/>
        <v>60598</v>
      </c>
      <c r="K141" s="119">
        <f t="shared" si="21"/>
        <v>65996</v>
      </c>
      <c r="L141" s="110"/>
      <c r="M141" s="110"/>
      <c r="N141" s="110"/>
      <c r="O141" s="110"/>
      <c r="P141" s="110"/>
      <c r="Q141" s="110"/>
      <c r="R141" s="110"/>
    </row>
    <row r="142" spans="1:23" x14ac:dyDescent="0.3">
      <c r="A142" s="109">
        <v>117</v>
      </c>
      <c r="B142" s="58">
        <f t="shared" si="16"/>
        <v>5866169</v>
      </c>
      <c r="C142" s="116">
        <f t="shared" si="22"/>
        <v>40693</v>
      </c>
      <c r="D142" s="117">
        <f t="shared" si="23"/>
        <v>14767</v>
      </c>
      <c r="E142" s="116">
        <f t="shared" si="24"/>
        <v>39779</v>
      </c>
      <c r="F142" s="116">
        <f t="shared" si="17"/>
        <v>55460</v>
      </c>
      <c r="G142" s="117">
        <f t="shared" si="18"/>
        <v>0</v>
      </c>
      <c r="H142" s="116">
        <f t="shared" si="14"/>
        <v>55460</v>
      </c>
      <c r="I142" s="116">
        <f t="shared" si="19"/>
        <v>55785</v>
      </c>
      <c r="J142" s="119">
        <f t="shared" si="20"/>
        <v>60598</v>
      </c>
      <c r="K142" s="119">
        <f t="shared" si="21"/>
        <v>65996</v>
      </c>
      <c r="L142" s="110"/>
      <c r="M142" s="110"/>
      <c r="N142" s="110"/>
      <c r="O142" s="110"/>
      <c r="P142" s="110"/>
      <c r="Q142" s="110"/>
      <c r="R142" s="110"/>
    </row>
    <row r="143" spans="1:23" x14ac:dyDescent="0.3">
      <c r="A143" s="109">
        <v>118</v>
      </c>
      <c r="B143" s="58">
        <f t="shared" si="16"/>
        <v>5825374</v>
      </c>
      <c r="C143" s="116">
        <f t="shared" si="22"/>
        <v>40795</v>
      </c>
      <c r="D143" s="117">
        <f t="shared" si="23"/>
        <v>14665</v>
      </c>
      <c r="E143" s="116">
        <f t="shared" si="24"/>
        <v>39779</v>
      </c>
      <c r="F143" s="116">
        <f t="shared" si="17"/>
        <v>55460</v>
      </c>
      <c r="G143" s="117">
        <f t="shared" si="18"/>
        <v>0</v>
      </c>
      <c r="H143" s="116">
        <f t="shared" si="14"/>
        <v>55460</v>
      </c>
      <c r="I143" s="116">
        <f t="shared" si="19"/>
        <v>55785</v>
      </c>
      <c r="J143" s="119">
        <f t="shared" si="20"/>
        <v>60598</v>
      </c>
      <c r="K143" s="119">
        <f t="shared" si="21"/>
        <v>65996</v>
      </c>
      <c r="L143" s="110"/>
      <c r="M143" s="110"/>
      <c r="N143" s="110"/>
      <c r="O143" s="110"/>
      <c r="P143" s="110"/>
      <c r="Q143" s="110"/>
      <c r="R143" s="110"/>
    </row>
    <row r="144" spans="1:23" x14ac:dyDescent="0.3">
      <c r="A144" s="109">
        <v>119</v>
      </c>
      <c r="B144" s="58">
        <f t="shared" si="16"/>
        <v>5784477</v>
      </c>
      <c r="C144" s="116">
        <f t="shared" si="22"/>
        <v>40897</v>
      </c>
      <c r="D144" s="117">
        <f t="shared" si="23"/>
        <v>14563</v>
      </c>
      <c r="E144" s="116">
        <f t="shared" si="24"/>
        <v>39779</v>
      </c>
      <c r="F144" s="116">
        <f t="shared" si="17"/>
        <v>55460</v>
      </c>
      <c r="G144" s="117">
        <f t="shared" si="18"/>
        <v>0</v>
      </c>
      <c r="H144" s="116">
        <f t="shared" si="14"/>
        <v>55460</v>
      </c>
      <c r="I144" s="116">
        <f t="shared" si="19"/>
        <v>55785</v>
      </c>
      <c r="J144" s="119">
        <f t="shared" si="20"/>
        <v>60598</v>
      </c>
      <c r="K144" s="119">
        <f t="shared" si="21"/>
        <v>65996</v>
      </c>
      <c r="L144" s="110"/>
      <c r="M144" s="110"/>
      <c r="N144" s="110"/>
      <c r="O144" s="110"/>
      <c r="P144" s="110"/>
      <c r="Q144" s="110"/>
      <c r="R144" s="110"/>
    </row>
    <row r="145" spans="1:23" x14ac:dyDescent="0.3">
      <c r="A145" s="109">
        <v>120</v>
      </c>
      <c r="B145" s="58">
        <f t="shared" si="16"/>
        <v>5743478</v>
      </c>
      <c r="C145" s="116">
        <f t="shared" si="22"/>
        <v>40999</v>
      </c>
      <c r="D145" s="117">
        <f t="shared" si="23"/>
        <v>14461</v>
      </c>
      <c r="E145" s="116">
        <f t="shared" si="24"/>
        <v>39779</v>
      </c>
      <c r="F145" s="116">
        <f t="shared" si="17"/>
        <v>55460</v>
      </c>
      <c r="G145" s="117">
        <f t="shared" si="18"/>
        <v>0</v>
      </c>
      <c r="H145" s="116">
        <f t="shared" si="14"/>
        <v>55460</v>
      </c>
      <c r="I145" s="116">
        <f t="shared" si="19"/>
        <v>55785</v>
      </c>
      <c r="J145" s="119">
        <f t="shared" si="20"/>
        <v>60598</v>
      </c>
      <c r="K145" s="119">
        <f t="shared" si="21"/>
        <v>65996</v>
      </c>
      <c r="L145" s="58">
        <f t="shared" ref="L145:Q145" si="29">SUM(C134:C145)</f>
        <v>485294</v>
      </c>
      <c r="M145" s="58">
        <f t="shared" si="29"/>
        <v>180226</v>
      </c>
      <c r="N145" s="58">
        <f t="shared" si="29"/>
        <v>477348</v>
      </c>
      <c r="O145" s="58">
        <f t="shared" si="29"/>
        <v>665520</v>
      </c>
      <c r="P145" s="58">
        <f t="shared" si="29"/>
        <v>0</v>
      </c>
      <c r="Q145" s="58">
        <f t="shared" si="29"/>
        <v>665520</v>
      </c>
      <c r="R145" s="58">
        <f>SUM(J134:J145)</f>
        <v>727176</v>
      </c>
      <c r="S145" s="29">
        <f>SUM(K134:K145)</f>
        <v>791952</v>
      </c>
      <c r="T145" s="29"/>
      <c r="U145" s="29"/>
      <c r="V145" s="29"/>
      <c r="W145" s="29"/>
    </row>
    <row r="146" spans="1:23" x14ac:dyDescent="0.3">
      <c r="A146" s="109">
        <v>121</v>
      </c>
      <c r="B146" s="58">
        <f t="shared" si="16"/>
        <v>5702377</v>
      </c>
      <c r="C146" s="116">
        <f t="shared" si="22"/>
        <v>41101</v>
      </c>
      <c r="D146" s="117">
        <f t="shared" si="23"/>
        <v>14359</v>
      </c>
      <c r="E146" s="116">
        <f t="shared" si="24"/>
        <v>39779</v>
      </c>
      <c r="F146" s="116">
        <f t="shared" si="17"/>
        <v>55460</v>
      </c>
      <c r="G146" s="117">
        <f t="shared" si="18"/>
        <v>0</v>
      </c>
      <c r="H146" s="116">
        <f t="shared" ref="H146:H209" si="30">F146+G146</f>
        <v>55460</v>
      </c>
      <c r="I146" s="116">
        <f t="shared" si="19"/>
        <v>55785</v>
      </c>
      <c r="J146" s="119">
        <f t="shared" si="20"/>
        <v>60598</v>
      </c>
      <c r="K146" s="119">
        <f t="shared" si="21"/>
        <v>65996</v>
      </c>
      <c r="L146" s="110"/>
      <c r="M146" s="110"/>
      <c r="N146" s="110"/>
      <c r="O146" s="110"/>
      <c r="P146" s="110"/>
      <c r="Q146" s="110"/>
      <c r="R146" s="110"/>
    </row>
    <row r="147" spans="1:23" x14ac:dyDescent="0.3">
      <c r="A147" s="109">
        <v>122</v>
      </c>
      <c r="B147" s="58">
        <f t="shared" si="16"/>
        <v>5661173</v>
      </c>
      <c r="C147" s="116">
        <f t="shared" si="22"/>
        <v>41204</v>
      </c>
      <c r="D147" s="117">
        <f t="shared" si="23"/>
        <v>14256</v>
      </c>
      <c r="E147" s="116">
        <f t="shared" si="24"/>
        <v>39779</v>
      </c>
      <c r="F147" s="116">
        <f t="shared" si="17"/>
        <v>55460</v>
      </c>
      <c r="G147" s="117">
        <f t="shared" si="18"/>
        <v>0</v>
      </c>
      <c r="H147" s="116">
        <f t="shared" si="30"/>
        <v>55460</v>
      </c>
      <c r="I147" s="116">
        <f t="shared" si="19"/>
        <v>55785</v>
      </c>
      <c r="J147" s="119">
        <f t="shared" si="20"/>
        <v>60598</v>
      </c>
      <c r="K147" s="119">
        <f t="shared" si="21"/>
        <v>65996</v>
      </c>
      <c r="L147" s="110"/>
      <c r="M147" s="110"/>
      <c r="N147" s="110"/>
      <c r="O147" s="110"/>
      <c r="P147" s="110"/>
      <c r="Q147" s="110"/>
      <c r="R147" s="110"/>
    </row>
    <row r="148" spans="1:23" x14ac:dyDescent="0.3">
      <c r="A148" s="109">
        <v>123</v>
      </c>
      <c r="B148" s="58">
        <f t="shared" si="16"/>
        <v>5619866</v>
      </c>
      <c r="C148" s="116">
        <f t="shared" si="22"/>
        <v>41307</v>
      </c>
      <c r="D148" s="117">
        <f t="shared" si="23"/>
        <v>14153</v>
      </c>
      <c r="E148" s="116">
        <f t="shared" si="24"/>
        <v>39779</v>
      </c>
      <c r="F148" s="116">
        <f t="shared" si="17"/>
        <v>55460</v>
      </c>
      <c r="G148" s="117">
        <f t="shared" si="18"/>
        <v>0</v>
      </c>
      <c r="H148" s="116">
        <f t="shared" si="30"/>
        <v>55460</v>
      </c>
      <c r="I148" s="116">
        <f t="shared" si="19"/>
        <v>55785</v>
      </c>
      <c r="J148" s="119">
        <f t="shared" si="20"/>
        <v>60598</v>
      </c>
      <c r="K148" s="119">
        <f t="shared" si="21"/>
        <v>65996</v>
      </c>
      <c r="L148" s="110"/>
      <c r="M148" s="110"/>
      <c r="N148" s="110"/>
      <c r="O148" s="110"/>
      <c r="P148" s="110"/>
      <c r="Q148" s="110"/>
      <c r="R148" s="110"/>
    </row>
    <row r="149" spans="1:23" x14ac:dyDescent="0.3">
      <c r="A149" s="109">
        <v>124</v>
      </c>
      <c r="B149" s="58">
        <f t="shared" si="16"/>
        <v>5578456</v>
      </c>
      <c r="C149" s="116">
        <f t="shared" si="22"/>
        <v>41410</v>
      </c>
      <c r="D149" s="117">
        <f t="shared" si="23"/>
        <v>14050</v>
      </c>
      <c r="E149" s="116">
        <f t="shared" si="24"/>
        <v>39779</v>
      </c>
      <c r="F149" s="116">
        <f t="shared" si="17"/>
        <v>55460</v>
      </c>
      <c r="G149" s="117">
        <f t="shared" si="18"/>
        <v>0</v>
      </c>
      <c r="H149" s="116">
        <f t="shared" si="30"/>
        <v>55460</v>
      </c>
      <c r="I149" s="116">
        <f t="shared" si="19"/>
        <v>55785</v>
      </c>
      <c r="J149" s="119">
        <f t="shared" si="20"/>
        <v>60598</v>
      </c>
      <c r="K149" s="119">
        <f t="shared" si="21"/>
        <v>65996</v>
      </c>
      <c r="L149" s="110"/>
      <c r="M149" s="110"/>
      <c r="N149" s="110"/>
      <c r="O149" s="110"/>
      <c r="P149" s="110"/>
      <c r="Q149" s="110"/>
      <c r="R149" s="110"/>
    </row>
    <row r="150" spans="1:23" x14ac:dyDescent="0.3">
      <c r="A150" s="109">
        <v>125</v>
      </c>
      <c r="B150" s="58">
        <f t="shared" si="16"/>
        <v>5536942</v>
      </c>
      <c r="C150" s="116">
        <f t="shared" si="22"/>
        <v>41514</v>
      </c>
      <c r="D150" s="117">
        <f t="shared" si="23"/>
        <v>13946</v>
      </c>
      <c r="E150" s="116">
        <f t="shared" si="24"/>
        <v>39779</v>
      </c>
      <c r="F150" s="116">
        <f t="shared" si="17"/>
        <v>55460</v>
      </c>
      <c r="G150" s="117">
        <f t="shared" si="18"/>
        <v>0</v>
      </c>
      <c r="H150" s="116">
        <f t="shared" si="30"/>
        <v>55460</v>
      </c>
      <c r="I150" s="116">
        <f t="shared" si="19"/>
        <v>55785</v>
      </c>
      <c r="J150" s="119">
        <f t="shared" si="20"/>
        <v>60598</v>
      </c>
      <c r="K150" s="119">
        <f t="shared" si="21"/>
        <v>65996</v>
      </c>
      <c r="L150" s="110"/>
      <c r="M150" s="110"/>
      <c r="N150" s="110"/>
      <c r="O150" s="110"/>
      <c r="P150" s="110"/>
      <c r="Q150" s="110"/>
      <c r="R150" s="110"/>
    </row>
    <row r="151" spans="1:23" x14ac:dyDescent="0.3">
      <c r="A151" s="109">
        <v>126</v>
      </c>
      <c r="B151" s="58">
        <f t="shared" si="16"/>
        <v>5495324</v>
      </c>
      <c r="C151" s="116">
        <f t="shared" si="22"/>
        <v>41618</v>
      </c>
      <c r="D151" s="117">
        <f t="shared" si="23"/>
        <v>13842</v>
      </c>
      <c r="E151" s="116">
        <f t="shared" si="24"/>
        <v>39779</v>
      </c>
      <c r="F151" s="116">
        <f t="shared" si="17"/>
        <v>55460</v>
      </c>
      <c r="G151" s="117">
        <f t="shared" si="18"/>
        <v>0</v>
      </c>
      <c r="H151" s="116">
        <f t="shared" si="30"/>
        <v>55460</v>
      </c>
      <c r="I151" s="116">
        <f t="shared" si="19"/>
        <v>55785</v>
      </c>
      <c r="J151" s="119">
        <f t="shared" si="20"/>
        <v>60598</v>
      </c>
      <c r="K151" s="119">
        <f t="shared" si="21"/>
        <v>65996</v>
      </c>
      <c r="L151" s="110"/>
      <c r="M151" s="110"/>
      <c r="N151" s="110"/>
      <c r="O151" s="110"/>
      <c r="P151" s="110"/>
      <c r="Q151" s="110"/>
      <c r="R151" s="110"/>
    </row>
    <row r="152" spans="1:23" x14ac:dyDescent="0.3">
      <c r="A152" s="109">
        <v>127</v>
      </c>
      <c r="B152" s="58">
        <f t="shared" si="16"/>
        <v>5453602</v>
      </c>
      <c r="C152" s="116">
        <f t="shared" si="22"/>
        <v>41722</v>
      </c>
      <c r="D152" s="117">
        <f t="shared" si="23"/>
        <v>13738</v>
      </c>
      <c r="E152" s="116">
        <f t="shared" si="24"/>
        <v>39779</v>
      </c>
      <c r="F152" s="116">
        <f t="shared" si="17"/>
        <v>55460</v>
      </c>
      <c r="G152" s="117">
        <f t="shared" si="18"/>
        <v>0</v>
      </c>
      <c r="H152" s="116">
        <f t="shared" si="30"/>
        <v>55460</v>
      </c>
      <c r="I152" s="116">
        <f t="shared" si="19"/>
        <v>55785</v>
      </c>
      <c r="J152" s="119">
        <f t="shared" si="20"/>
        <v>60598</v>
      </c>
      <c r="K152" s="119">
        <f t="shared" si="21"/>
        <v>65996</v>
      </c>
      <c r="L152" s="110"/>
      <c r="M152" s="110"/>
      <c r="N152" s="110"/>
      <c r="O152" s="110"/>
      <c r="P152" s="110"/>
      <c r="Q152" s="110"/>
      <c r="R152" s="110"/>
    </row>
    <row r="153" spans="1:23" x14ac:dyDescent="0.3">
      <c r="A153" s="109">
        <v>128</v>
      </c>
      <c r="B153" s="58">
        <f t="shared" si="16"/>
        <v>5411776</v>
      </c>
      <c r="C153" s="116">
        <f t="shared" si="22"/>
        <v>41826</v>
      </c>
      <c r="D153" s="117">
        <f t="shared" si="23"/>
        <v>13634</v>
      </c>
      <c r="E153" s="116">
        <f t="shared" si="24"/>
        <v>39779</v>
      </c>
      <c r="F153" s="116">
        <f t="shared" si="17"/>
        <v>55460</v>
      </c>
      <c r="G153" s="117">
        <f t="shared" si="18"/>
        <v>0</v>
      </c>
      <c r="H153" s="116">
        <f t="shared" si="30"/>
        <v>55460</v>
      </c>
      <c r="I153" s="116">
        <f t="shared" si="19"/>
        <v>55785</v>
      </c>
      <c r="J153" s="119">
        <f t="shared" si="20"/>
        <v>60598</v>
      </c>
      <c r="K153" s="119">
        <f t="shared" si="21"/>
        <v>65996</v>
      </c>
      <c r="L153" s="110"/>
      <c r="M153" s="110"/>
      <c r="N153" s="110"/>
      <c r="O153" s="110"/>
      <c r="P153" s="110"/>
      <c r="Q153" s="110"/>
      <c r="R153" s="110"/>
    </row>
    <row r="154" spans="1:23" x14ac:dyDescent="0.3">
      <c r="A154" s="109">
        <v>129</v>
      </c>
      <c r="B154" s="58">
        <f t="shared" ref="B154:B217" si="31">B153-C154</f>
        <v>5369845</v>
      </c>
      <c r="C154" s="116">
        <f t="shared" si="22"/>
        <v>41931</v>
      </c>
      <c r="D154" s="117">
        <f t="shared" si="23"/>
        <v>13529</v>
      </c>
      <c r="E154" s="116">
        <f t="shared" si="24"/>
        <v>39779</v>
      </c>
      <c r="F154" s="116">
        <f t="shared" ref="F154:F217" si="32">ROUND(IF(A154&gt;$G$6,(IF(A154&gt;=$C$3,B153+D154,PMT($C$4/12,$C$3-$G$6,-$B$25))),D154),0)</f>
        <v>55460</v>
      </c>
      <c r="G154" s="117">
        <f t="shared" ref="G154:G217" si="33">ROUND(IF(A154&gt;$G$6,0,$B$25*$C$14/360*30),0)</f>
        <v>0</v>
      </c>
      <c r="H154" s="116">
        <f t="shared" si="30"/>
        <v>55460</v>
      </c>
      <c r="I154" s="116">
        <f t="shared" ref="I154:I217" si="34">IF(A154&lt;=$C$3,H154+$C$17,0)</f>
        <v>55785</v>
      </c>
      <c r="J154" s="119">
        <f t="shared" ref="J154:J217" si="35">ROUND(IF(A154&gt;$G$6,(IF(A154&gt;=$C$3,B153+D154,PMT($L$12/12,$C$3-$G$6,-$B$25))),D154),0)</f>
        <v>60598</v>
      </c>
      <c r="K154" s="119">
        <f t="shared" ref="K154:K217" si="36">ROUND(IF(A154&gt;$G$6,(IF(A154&gt;=$C$3,B153+D154,PMT($L$13/12,$C$3-$G$6,-$B$25))),D154),0)</f>
        <v>65996</v>
      </c>
      <c r="L154" s="110"/>
      <c r="M154" s="110"/>
      <c r="N154" s="110"/>
      <c r="O154" s="110"/>
      <c r="P154" s="110"/>
      <c r="Q154" s="110"/>
      <c r="R154" s="110"/>
    </row>
    <row r="155" spans="1:23" x14ac:dyDescent="0.3">
      <c r="A155" s="109">
        <v>130</v>
      </c>
      <c r="B155" s="58">
        <f t="shared" si="31"/>
        <v>5327810</v>
      </c>
      <c r="C155" s="116">
        <f t="shared" ref="C155:C218" si="37">+F155-D155</f>
        <v>42035</v>
      </c>
      <c r="D155" s="117">
        <f t="shared" ref="D155:D218" si="38">ROUND(IF(A155&gt;$G$6,B154*$C$4*30/360,0),0)</f>
        <v>13425</v>
      </c>
      <c r="E155" s="116">
        <f t="shared" ref="E155:E218" si="39">ROUND(IF(A155&gt;$C$3,0,$B$25*($C$5/12)),0)</f>
        <v>39779</v>
      </c>
      <c r="F155" s="116">
        <f t="shared" si="32"/>
        <v>55460</v>
      </c>
      <c r="G155" s="117">
        <f t="shared" si="33"/>
        <v>0</v>
      </c>
      <c r="H155" s="116">
        <f t="shared" si="30"/>
        <v>55460</v>
      </c>
      <c r="I155" s="116">
        <f t="shared" si="34"/>
        <v>55785</v>
      </c>
      <c r="J155" s="119">
        <f t="shared" si="35"/>
        <v>60598</v>
      </c>
      <c r="K155" s="119">
        <f t="shared" si="36"/>
        <v>65996</v>
      </c>
      <c r="L155" s="110"/>
      <c r="M155" s="110"/>
      <c r="N155" s="110"/>
      <c r="O155" s="110"/>
      <c r="P155" s="110"/>
      <c r="Q155" s="110"/>
      <c r="R155" s="110"/>
    </row>
    <row r="156" spans="1:23" x14ac:dyDescent="0.3">
      <c r="A156" s="109">
        <v>131</v>
      </c>
      <c r="B156" s="58">
        <f t="shared" si="31"/>
        <v>5285670</v>
      </c>
      <c r="C156" s="116">
        <f t="shared" si="37"/>
        <v>42140</v>
      </c>
      <c r="D156" s="117">
        <f t="shared" si="38"/>
        <v>13320</v>
      </c>
      <c r="E156" s="116">
        <f t="shared" si="39"/>
        <v>39779</v>
      </c>
      <c r="F156" s="116">
        <f t="shared" si="32"/>
        <v>55460</v>
      </c>
      <c r="G156" s="117">
        <f t="shared" si="33"/>
        <v>0</v>
      </c>
      <c r="H156" s="116">
        <f t="shared" si="30"/>
        <v>55460</v>
      </c>
      <c r="I156" s="116">
        <f t="shared" si="34"/>
        <v>55785</v>
      </c>
      <c r="J156" s="119">
        <f t="shared" si="35"/>
        <v>60598</v>
      </c>
      <c r="K156" s="119">
        <f t="shared" si="36"/>
        <v>65996</v>
      </c>
      <c r="L156" s="110"/>
      <c r="M156" s="110"/>
      <c r="N156" s="110"/>
      <c r="O156" s="110"/>
      <c r="P156" s="110"/>
      <c r="Q156" s="110"/>
      <c r="R156" s="110"/>
    </row>
    <row r="157" spans="1:23" x14ac:dyDescent="0.3">
      <c r="A157" s="109">
        <v>132</v>
      </c>
      <c r="B157" s="58">
        <f t="shared" si="31"/>
        <v>5243424</v>
      </c>
      <c r="C157" s="116">
        <f t="shared" si="37"/>
        <v>42246</v>
      </c>
      <c r="D157" s="117">
        <f t="shared" si="38"/>
        <v>13214</v>
      </c>
      <c r="E157" s="116">
        <f t="shared" si="39"/>
        <v>39779</v>
      </c>
      <c r="F157" s="116">
        <f t="shared" si="32"/>
        <v>55460</v>
      </c>
      <c r="G157" s="117">
        <f t="shared" si="33"/>
        <v>0</v>
      </c>
      <c r="H157" s="116">
        <f t="shared" si="30"/>
        <v>55460</v>
      </c>
      <c r="I157" s="116">
        <f t="shared" si="34"/>
        <v>55785</v>
      </c>
      <c r="J157" s="119">
        <f t="shared" si="35"/>
        <v>60598</v>
      </c>
      <c r="K157" s="119">
        <f t="shared" si="36"/>
        <v>65996</v>
      </c>
      <c r="L157" s="58">
        <f t="shared" ref="L157:Q157" si="40">SUM(C146:C157)</f>
        <v>500054</v>
      </c>
      <c r="M157" s="58">
        <f t="shared" si="40"/>
        <v>165466</v>
      </c>
      <c r="N157" s="58">
        <f t="shared" si="40"/>
        <v>477348</v>
      </c>
      <c r="O157" s="58">
        <f t="shared" si="40"/>
        <v>665520</v>
      </c>
      <c r="P157" s="58">
        <f t="shared" si="40"/>
        <v>0</v>
      </c>
      <c r="Q157" s="58">
        <f t="shared" si="40"/>
        <v>665520</v>
      </c>
      <c r="R157" s="58">
        <f>SUM(J146:J157)</f>
        <v>727176</v>
      </c>
      <c r="S157" s="29">
        <f>SUM(K146:K157)</f>
        <v>791952</v>
      </c>
      <c r="T157" s="29"/>
      <c r="U157" s="29"/>
      <c r="V157" s="29"/>
      <c r="W157" s="29"/>
    </row>
    <row r="158" spans="1:23" x14ac:dyDescent="0.3">
      <c r="A158" s="109">
        <v>133</v>
      </c>
      <c r="B158" s="58">
        <f t="shared" si="31"/>
        <v>5201073</v>
      </c>
      <c r="C158" s="116">
        <f t="shared" si="37"/>
        <v>42351</v>
      </c>
      <c r="D158" s="117">
        <f t="shared" si="38"/>
        <v>13109</v>
      </c>
      <c r="E158" s="116">
        <f t="shared" si="39"/>
        <v>39779</v>
      </c>
      <c r="F158" s="116">
        <f t="shared" si="32"/>
        <v>55460</v>
      </c>
      <c r="G158" s="117">
        <f t="shared" si="33"/>
        <v>0</v>
      </c>
      <c r="H158" s="116">
        <f t="shared" si="30"/>
        <v>55460</v>
      </c>
      <c r="I158" s="116">
        <f t="shared" si="34"/>
        <v>55785</v>
      </c>
      <c r="J158" s="119">
        <f t="shared" si="35"/>
        <v>60598</v>
      </c>
      <c r="K158" s="119">
        <f t="shared" si="36"/>
        <v>65996</v>
      </c>
      <c r="L158" s="110"/>
      <c r="M158" s="110"/>
      <c r="N158" s="110"/>
      <c r="O158" s="110"/>
      <c r="P158" s="110"/>
      <c r="Q158" s="110"/>
      <c r="R158" s="110"/>
    </row>
    <row r="159" spans="1:23" x14ac:dyDescent="0.3">
      <c r="A159" s="109">
        <v>134</v>
      </c>
      <c r="B159" s="58">
        <f t="shared" si="31"/>
        <v>5158616</v>
      </c>
      <c r="C159" s="116">
        <f t="shared" si="37"/>
        <v>42457</v>
      </c>
      <c r="D159" s="117">
        <f t="shared" si="38"/>
        <v>13003</v>
      </c>
      <c r="E159" s="116">
        <f t="shared" si="39"/>
        <v>39779</v>
      </c>
      <c r="F159" s="116">
        <f t="shared" si="32"/>
        <v>55460</v>
      </c>
      <c r="G159" s="117">
        <f t="shared" si="33"/>
        <v>0</v>
      </c>
      <c r="H159" s="116">
        <f t="shared" si="30"/>
        <v>55460</v>
      </c>
      <c r="I159" s="116">
        <f t="shared" si="34"/>
        <v>55785</v>
      </c>
      <c r="J159" s="119">
        <f t="shared" si="35"/>
        <v>60598</v>
      </c>
      <c r="K159" s="119">
        <f t="shared" si="36"/>
        <v>65996</v>
      </c>
      <c r="L159" s="110"/>
      <c r="M159" s="110"/>
      <c r="N159" s="110"/>
      <c r="O159" s="110"/>
      <c r="P159" s="110"/>
      <c r="Q159" s="110"/>
      <c r="R159" s="110"/>
    </row>
    <row r="160" spans="1:23" x14ac:dyDescent="0.3">
      <c r="A160" s="109">
        <v>135</v>
      </c>
      <c r="B160" s="58">
        <f t="shared" si="31"/>
        <v>5116053</v>
      </c>
      <c r="C160" s="116">
        <f t="shared" si="37"/>
        <v>42563</v>
      </c>
      <c r="D160" s="117">
        <f t="shared" si="38"/>
        <v>12897</v>
      </c>
      <c r="E160" s="116">
        <f t="shared" si="39"/>
        <v>39779</v>
      </c>
      <c r="F160" s="116">
        <f t="shared" si="32"/>
        <v>55460</v>
      </c>
      <c r="G160" s="117">
        <f t="shared" si="33"/>
        <v>0</v>
      </c>
      <c r="H160" s="116">
        <f t="shared" si="30"/>
        <v>55460</v>
      </c>
      <c r="I160" s="116">
        <f t="shared" si="34"/>
        <v>55785</v>
      </c>
      <c r="J160" s="119">
        <f t="shared" si="35"/>
        <v>60598</v>
      </c>
      <c r="K160" s="119">
        <f t="shared" si="36"/>
        <v>65996</v>
      </c>
      <c r="L160" s="110"/>
      <c r="M160" s="110"/>
      <c r="N160" s="110"/>
      <c r="O160" s="110"/>
      <c r="P160" s="110"/>
      <c r="Q160" s="110"/>
      <c r="R160" s="110"/>
    </row>
    <row r="161" spans="1:23" x14ac:dyDescent="0.3">
      <c r="A161" s="109">
        <v>136</v>
      </c>
      <c r="B161" s="58">
        <f t="shared" si="31"/>
        <v>5073383</v>
      </c>
      <c r="C161" s="116">
        <f t="shared" si="37"/>
        <v>42670</v>
      </c>
      <c r="D161" s="117">
        <f t="shared" si="38"/>
        <v>12790</v>
      </c>
      <c r="E161" s="116">
        <f t="shared" si="39"/>
        <v>39779</v>
      </c>
      <c r="F161" s="116">
        <f t="shared" si="32"/>
        <v>55460</v>
      </c>
      <c r="G161" s="117">
        <f t="shared" si="33"/>
        <v>0</v>
      </c>
      <c r="H161" s="116">
        <f t="shared" si="30"/>
        <v>55460</v>
      </c>
      <c r="I161" s="116">
        <f t="shared" si="34"/>
        <v>55785</v>
      </c>
      <c r="J161" s="119">
        <f t="shared" si="35"/>
        <v>60598</v>
      </c>
      <c r="K161" s="119">
        <f t="shared" si="36"/>
        <v>65996</v>
      </c>
      <c r="L161" s="110"/>
      <c r="M161" s="110"/>
      <c r="N161" s="110"/>
      <c r="O161" s="110"/>
      <c r="P161" s="110"/>
      <c r="Q161" s="110"/>
      <c r="R161" s="110"/>
    </row>
    <row r="162" spans="1:23" x14ac:dyDescent="0.3">
      <c r="A162" s="109">
        <v>137</v>
      </c>
      <c r="B162" s="58">
        <f t="shared" si="31"/>
        <v>5030606</v>
      </c>
      <c r="C162" s="116">
        <f t="shared" si="37"/>
        <v>42777</v>
      </c>
      <c r="D162" s="117">
        <f t="shared" si="38"/>
        <v>12683</v>
      </c>
      <c r="E162" s="116">
        <f t="shared" si="39"/>
        <v>39779</v>
      </c>
      <c r="F162" s="116">
        <f t="shared" si="32"/>
        <v>55460</v>
      </c>
      <c r="G162" s="117">
        <f t="shared" si="33"/>
        <v>0</v>
      </c>
      <c r="H162" s="116">
        <f t="shared" si="30"/>
        <v>55460</v>
      </c>
      <c r="I162" s="116">
        <f t="shared" si="34"/>
        <v>55785</v>
      </c>
      <c r="J162" s="119">
        <f t="shared" si="35"/>
        <v>60598</v>
      </c>
      <c r="K162" s="119">
        <f t="shared" si="36"/>
        <v>65996</v>
      </c>
      <c r="L162" s="110"/>
      <c r="M162" s="110"/>
      <c r="N162" s="110"/>
      <c r="O162" s="110"/>
      <c r="P162" s="110"/>
      <c r="Q162" s="110"/>
      <c r="R162" s="110"/>
    </row>
    <row r="163" spans="1:23" x14ac:dyDescent="0.3">
      <c r="A163" s="109">
        <v>138</v>
      </c>
      <c r="B163" s="58">
        <f t="shared" si="31"/>
        <v>4987723</v>
      </c>
      <c r="C163" s="116">
        <f t="shared" si="37"/>
        <v>42883</v>
      </c>
      <c r="D163" s="117">
        <f t="shared" si="38"/>
        <v>12577</v>
      </c>
      <c r="E163" s="116">
        <f t="shared" si="39"/>
        <v>39779</v>
      </c>
      <c r="F163" s="116">
        <f t="shared" si="32"/>
        <v>55460</v>
      </c>
      <c r="G163" s="117">
        <f t="shared" si="33"/>
        <v>0</v>
      </c>
      <c r="H163" s="116">
        <f t="shared" si="30"/>
        <v>55460</v>
      </c>
      <c r="I163" s="116">
        <f t="shared" si="34"/>
        <v>55785</v>
      </c>
      <c r="J163" s="119">
        <f t="shared" si="35"/>
        <v>60598</v>
      </c>
      <c r="K163" s="119">
        <f t="shared" si="36"/>
        <v>65996</v>
      </c>
      <c r="L163" s="110"/>
      <c r="M163" s="110"/>
      <c r="N163" s="110"/>
      <c r="O163" s="110"/>
      <c r="P163" s="110"/>
      <c r="Q163" s="110"/>
      <c r="R163" s="110"/>
    </row>
    <row r="164" spans="1:23" x14ac:dyDescent="0.3">
      <c r="A164" s="109">
        <v>139</v>
      </c>
      <c r="B164" s="58">
        <f t="shared" si="31"/>
        <v>4944732</v>
      </c>
      <c r="C164" s="116">
        <f t="shared" si="37"/>
        <v>42991</v>
      </c>
      <c r="D164" s="117">
        <f t="shared" si="38"/>
        <v>12469</v>
      </c>
      <c r="E164" s="116">
        <f t="shared" si="39"/>
        <v>39779</v>
      </c>
      <c r="F164" s="116">
        <f t="shared" si="32"/>
        <v>55460</v>
      </c>
      <c r="G164" s="117">
        <f t="shared" si="33"/>
        <v>0</v>
      </c>
      <c r="H164" s="116">
        <f t="shared" si="30"/>
        <v>55460</v>
      </c>
      <c r="I164" s="116">
        <f t="shared" si="34"/>
        <v>55785</v>
      </c>
      <c r="J164" s="119">
        <f t="shared" si="35"/>
        <v>60598</v>
      </c>
      <c r="K164" s="119">
        <f t="shared" si="36"/>
        <v>65996</v>
      </c>
      <c r="L164" s="110"/>
      <c r="M164" s="110"/>
      <c r="N164" s="110"/>
      <c r="O164" s="110"/>
      <c r="P164" s="110"/>
      <c r="Q164" s="110"/>
      <c r="R164" s="110"/>
    </row>
    <row r="165" spans="1:23" x14ac:dyDescent="0.3">
      <c r="A165" s="109">
        <v>140</v>
      </c>
      <c r="B165" s="58">
        <f t="shared" si="31"/>
        <v>4901634</v>
      </c>
      <c r="C165" s="116">
        <f t="shared" si="37"/>
        <v>43098</v>
      </c>
      <c r="D165" s="117">
        <f t="shared" si="38"/>
        <v>12362</v>
      </c>
      <c r="E165" s="116">
        <f t="shared" si="39"/>
        <v>39779</v>
      </c>
      <c r="F165" s="116">
        <f t="shared" si="32"/>
        <v>55460</v>
      </c>
      <c r="G165" s="117">
        <f t="shared" si="33"/>
        <v>0</v>
      </c>
      <c r="H165" s="116">
        <f t="shared" si="30"/>
        <v>55460</v>
      </c>
      <c r="I165" s="116">
        <f t="shared" si="34"/>
        <v>55785</v>
      </c>
      <c r="J165" s="119">
        <f t="shared" si="35"/>
        <v>60598</v>
      </c>
      <c r="K165" s="119">
        <f t="shared" si="36"/>
        <v>65996</v>
      </c>
      <c r="L165" s="110"/>
      <c r="M165" s="110"/>
      <c r="N165" s="110"/>
      <c r="O165" s="110"/>
      <c r="P165" s="110"/>
      <c r="Q165" s="110"/>
      <c r="R165" s="110"/>
    </row>
    <row r="166" spans="1:23" x14ac:dyDescent="0.3">
      <c r="A166" s="109">
        <v>141</v>
      </c>
      <c r="B166" s="58">
        <f t="shared" si="31"/>
        <v>4858428</v>
      </c>
      <c r="C166" s="116">
        <f t="shared" si="37"/>
        <v>43206</v>
      </c>
      <c r="D166" s="117">
        <f t="shared" si="38"/>
        <v>12254</v>
      </c>
      <c r="E166" s="116">
        <f t="shared" si="39"/>
        <v>39779</v>
      </c>
      <c r="F166" s="116">
        <f t="shared" si="32"/>
        <v>55460</v>
      </c>
      <c r="G166" s="117">
        <f t="shared" si="33"/>
        <v>0</v>
      </c>
      <c r="H166" s="116">
        <f t="shared" si="30"/>
        <v>55460</v>
      </c>
      <c r="I166" s="116">
        <f t="shared" si="34"/>
        <v>55785</v>
      </c>
      <c r="J166" s="119">
        <f t="shared" si="35"/>
        <v>60598</v>
      </c>
      <c r="K166" s="119">
        <f t="shared" si="36"/>
        <v>65996</v>
      </c>
      <c r="L166" s="110"/>
      <c r="M166" s="110"/>
      <c r="N166" s="110"/>
      <c r="O166" s="110"/>
      <c r="P166" s="110"/>
      <c r="Q166" s="110"/>
      <c r="R166" s="110"/>
    </row>
    <row r="167" spans="1:23" x14ac:dyDescent="0.3">
      <c r="A167" s="109">
        <v>142</v>
      </c>
      <c r="B167" s="58">
        <f t="shared" si="31"/>
        <v>4815114</v>
      </c>
      <c r="C167" s="116">
        <f t="shared" si="37"/>
        <v>43314</v>
      </c>
      <c r="D167" s="117">
        <f t="shared" si="38"/>
        <v>12146</v>
      </c>
      <c r="E167" s="116">
        <f t="shared" si="39"/>
        <v>39779</v>
      </c>
      <c r="F167" s="116">
        <f t="shared" si="32"/>
        <v>55460</v>
      </c>
      <c r="G167" s="117">
        <f t="shared" si="33"/>
        <v>0</v>
      </c>
      <c r="H167" s="116">
        <f t="shared" si="30"/>
        <v>55460</v>
      </c>
      <c r="I167" s="116">
        <f t="shared" si="34"/>
        <v>55785</v>
      </c>
      <c r="J167" s="119">
        <f t="shared" si="35"/>
        <v>60598</v>
      </c>
      <c r="K167" s="119">
        <f t="shared" si="36"/>
        <v>65996</v>
      </c>
      <c r="L167" s="110"/>
      <c r="M167" s="110"/>
      <c r="N167" s="110"/>
      <c r="O167" s="110"/>
      <c r="P167" s="110"/>
      <c r="Q167" s="110"/>
      <c r="R167" s="110"/>
    </row>
    <row r="168" spans="1:23" x14ac:dyDescent="0.3">
      <c r="A168" s="109">
        <v>143</v>
      </c>
      <c r="B168" s="58">
        <f t="shared" si="31"/>
        <v>4771692</v>
      </c>
      <c r="C168" s="116">
        <f t="shared" si="37"/>
        <v>43422</v>
      </c>
      <c r="D168" s="117">
        <f t="shared" si="38"/>
        <v>12038</v>
      </c>
      <c r="E168" s="116">
        <f t="shared" si="39"/>
        <v>39779</v>
      </c>
      <c r="F168" s="116">
        <f t="shared" si="32"/>
        <v>55460</v>
      </c>
      <c r="G168" s="117">
        <f t="shared" si="33"/>
        <v>0</v>
      </c>
      <c r="H168" s="116">
        <f t="shared" si="30"/>
        <v>55460</v>
      </c>
      <c r="I168" s="116">
        <f t="shared" si="34"/>
        <v>55785</v>
      </c>
      <c r="J168" s="119">
        <f t="shared" si="35"/>
        <v>60598</v>
      </c>
      <c r="K168" s="119">
        <f t="shared" si="36"/>
        <v>65996</v>
      </c>
      <c r="L168" s="110"/>
      <c r="M168" s="110"/>
      <c r="N168" s="110"/>
      <c r="O168" s="110"/>
      <c r="P168" s="110"/>
      <c r="Q168" s="110"/>
      <c r="R168" s="110"/>
    </row>
    <row r="169" spans="1:23" x14ac:dyDescent="0.3">
      <c r="A169" s="109">
        <v>144</v>
      </c>
      <c r="B169" s="58">
        <f t="shared" si="31"/>
        <v>4728161</v>
      </c>
      <c r="C169" s="116">
        <f t="shared" si="37"/>
        <v>43531</v>
      </c>
      <c r="D169" s="117">
        <f t="shared" si="38"/>
        <v>11929</v>
      </c>
      <c r="E169" s="116">
        <f t="shared" si="39"/>
        <v>39779</v>
      </c>
      <c r="F169" s="116">
        <f t="shared" si="32"/>
        <v>55460</v>
      </c>
      <c r="G169" s="117">
        <f t="shared" si="33"/>
        <v>0</v>
      </c>
      <c r="H169" s="116">
        <f t="shared" si="30"/>
        <v>55460</v>
      </c>
      <c r="I169" s="116">
        <f t="shared" si="34"/>
        <v>55785</v>
      </c>
      <c r="J169" s="119">
        <f t="shared" si="35"/>
        <v>60598</v>
      </c>
      <c r="K169" s="119">
        <f t="shared" si="36"/>
        <v>65996</v>
      </c>
      <c r="L169" s="58">
        <f t="shared" ref="L169:Q169" si="41">SUM(C158:C169)</f>
        <v>515263</v>
      </c>
      <c r="M169" s="58">
        <f t="shared" si="41"/>
        <v>150257</v>
      </c>
      <c r="N169" s="58">
        <f t="shared" si="41"/>
        <v>477348</v>
      </c>
      <c r="O169" s="58">
        <f t="shared" si="41"/>
        <v>665520</v>
      </c>
      <c r="P169" s="58">
        <f t="shared" si="41"/>
        <v>0</v>
      </c>
      <c r="Q169" s="58">
        <f t="shared" si="41"/>
        <v>665520</v>
      </c>
      <c r="R169" s="58">
        <f>SUM(J158:J169)</f>
        <v>727176</v>
      </c>
      <c r="S169" s="29">
        <f>SUM(K158:K169)</f>
        <v>791952</v>
      </c>
      <c r="T169" s="29"/>
      <c r="U169" s="29"/>
      <c r="V169" s="29"/>
      <c r="W169" s="29"/>
    </row>
    <row r="170" spans="1:23" x14ac:dyDescent="0.3">
      <c r="A170" s="109">
        <v>145</v>
      </c>
      <c r="B170" s="58">
        <f t="shared" si="31"/>
        <v>4684521</v>
      </c>
      <c r="C170" s="116">
        <f t="shared" si="37"/>
        <v>43640</v>
      </c>
      <c r="D170" s="117">
        <f t="shared" si="38"/>
        <v>11820</v>
      </c>
      <c r="E170" s="116">
        <f t="shared" si="39"/>
        <v>39779</v>
      </c>
      <c r="F170" s="116">
        <f t="shared" si="32"/>
        <v>55460</v>
      </c>
      <c r="G170" s="117">
        <f t="shared" si="33"/>
        <v>0</v>
      </c>
      <c r="H170" s="116">
        <f t="shared" si="30"/>
        <v>55460</v>
      </c>
      <c r="I170" s="116">
        <f t="shared" si="34"/>
        <v>55785</v>
      </c>
      <c r="J170" s="119">
        <f t="shared" si="35"/>
        <v>60598</v>
      </c>
      <c r="K170" s="119">
        <f t="shared" si="36"/>
        <v>65996</v>
      </c>
      <c r="L170" s="110"/>
      <c r="M170" s="110"/>
      <c r="N170" s="110"/>
      <c r="O170" s="110"/>
      <c r="P170" s="110"/>
      <c r="Q170" s="110"/>
      <c r="R170" s="110"/>
    </row>
    <row r="171" spans="1:23" x14ac:dyDescent="0.3">
      <c r="A171" s="109">
        <v>146</v>
      </c>
      <c r="B171" s="58">
        <f t="shared" si="31"/>
        <v>4640772</v>
      </c>
      <c r="C171" s="116">
        <f t="shared" si="37"/>
        <v>43749</v>
      </c>
      <c r="D171" s="117">
        <f t="shared" si="38"/>
        <v>11711</v>
      </c>
      <c r="E171" s="116">
        <f t="shared" si="39"/>
        <v>39779</v>
      </c>
      <c r="F171" s="116">
        <f t="shared" si="32"/>
        <v>55460</v>
      </c>
      <c r="G171" s="117">
        <f t="shared" si="33"/>
        <v>0</v>
      </c>
      <c r="H171" s="116">
        <f t="shared" si="30"/>
        <v>55460</v>
      </c>
      <c r="I171" s="116">
        <f t="shared" si="34"/>
        <v>55785</v>
      </c>
      <c r="J171" s="119">
        <f t="shared" si="35"/>
        <v>60598</v>
      </c>
      <c r="K171" s="119">
        <f t="shared" si="36"/>
        <v>65996</v>
      </c>
      <c r="L171" s="110"/>
      <c r="M171" s="110"/>
      <c r="N171" s="110"/>
      <c r="O171" s="110"/>
      <c r="P171" s="110"/>
      <c r="Q171" s="110"/>
      <c r="R171" s="110"/>
    </row>
    <row r="172" spans="1:23" x14ac:dyDescent="0.3">
      <c r="A172" s="109">
        <v>147</v>
      </c>
      <c r="B172" s="58">
        <f t="shared" si="31"/>
        <v>4596914</v>
      </c>
      <c r="C172" s="116">
        <f t="shared" si="37"/>
        <v>43858</v>
      </c>
      <c r="D172" s="117">
        <f t="shared" si="38"/>
        <v>11602</v>
      </c>
      <c r="E172" s="116">
        <f t="shared" si="39"/>
        <v>39779</v>
      </c>
      <c r="F172" s="116">
        <f t="shared" si="32"/>
        <v>55460</v>
      </c>
      <c r="G172" s="117">
        <f t="shared" si="33"/>
        <v>0</v>
      </c>
      <c r="H172" s="116">
        <f t="shared" si="30"/>
        <v>55460</v>
      </c>
      <c r="I172" s="116">
        <f t="shared" si="34"/>
        <v>55785</v>
      </c>
      <c r="J172" s="119">
        <f t="shared" si="35"/>
        <v>60598</v>
      </c>
      <c r="K172" s="119">
        <f t="shared" si="36"/>
        <v>65996</v>
      </c>
      <c r="L172" s="110"/>
      <c r="M172" s="110"/>
      <c r="N172" s="110"/>
      <c r="O172" s="110"/>
      <c r="P172" s="110"/>
      <c r="Q172" s="110"/>
      <c r="R172" s="110"/>
    </row>
    <row r="173" spans="1:23" x14ac:dyDescent="0.3">
      <c r="A173" s="109">
        <v>148</v>
      </c>
      <c r="B173" s="58">
        <f t="shared" si="31"/>
        <v>4552946</v>
      </c>
      <c r="C173" s="116">
        <f t="shared" si="37"/>
        <v>43968</v>
      </c>
      <c r="D173" s="117">
        <f t="shared" si="38"/>
        <v>11492</v>
      </c>
      <c r="E173" s="116">
        <f t="shared" si="39"/>
        <v>39779</v>
      </c>
      <c r="F173" s="116">
        <f t="shared" si="32"/>
        <v>55460</v>
      </c>
      <c r="G173" s="117">
        <f t="shared" si="33"/>
        <v>0</v>
      </c>
      <c r="H173" s="116">
        <f t="shared" si="30"/>
        <v>55460</v>
      </c>
      <c r="I173" s="116">
        <f t="shared" si="34"/>
        <v>55785</v>
      </c>
      <c r="J173" s="119">
        <f t="shared" si="35"/>
        <v>60598</v>
      </c>
      <c r="K173" s="119">
        <f t="shared" si="36"/>
        <v>65996</v>
      </c>
      <c r="L173" s="110"/>
      <c r="M173" s="110"/>
      <c r="N173" s="110"/>
      <c r="O173" s="110"/>
      <c r="P173" s="110"/>
      <c r="Q173" s="110"/>
      <c r="R173" s="110"/>
    </row>
    <row r="174" spans="1:23" x14ac:dyDescent="0.3">
      <c r="A174" s="109">
        <v>149</v>
      </c>
      <c r="B174" s="58">
        <f t="shared" si="31"/>
        <v>4508868</v>
      </c>
      <c r="C174" s="116">
        <f t="shared" si="37"/>
        <v>44078</v>
      </c>
      <c r="D174" s="117">
        <f t="shared" si="38"/>
        <v>11382</v>
      </c>
      <c r="E174" s="116">
        <f t="shared" si="39"/>
        <v>39779</v>
      </c>
      <c r="F174" s="116">
        <f t="shared" si="32"/>
        <v>55460</v>
      </c>
      <c r="G174" s="117">
        <f t="shared" si="33"/>
        <v>0</v>
      </c>
      <c r="H174" s="116">
        <f t="shared" si="30"/>
        <v>55460</v>
      </c>
      <c r="I174" s="116">
        <f t="shared" si="34"/>
        <v>55785</v>
      </c>
      <c r="J174" s="119">
        <f t="shared" si="35"/>
        <v>60598</v>
      </c>
      <c r="K174" s="119">
        <f t="shared" si="36"/>
        <v>65996</v>
      </c>
      <c r="L174" s="110"/>
      <c r="M174" s="110"/>
      <c r="N174" s="110"/>
      <c r="O174" s="110"/>
      <c r="P174" s="110"/>
      <c r="Q174" s="110"/>
      <c r="R174" s="110"/>
    </row>
    <row r="175" spans="1:23" x14ac:dyDescent="0.3">
      <c r="A175" s="109">
        <v>150</v>
      </c>
      <c r="B175" s="58">
        <f t="shared" si="31"/>
        <v>4464680</v>
      </c>
      <c r="C175" s="116">
        <f t="shared" si="37"/>
        <v>44188</v>
      </c>
      <c r="D175" s="117">
        <f t="shared" si="38"/>
        <v>11272</v>
      </c>
      <c r="E175" s="116">
        <f t="shared" si="39"/>
        <v>39779</v>
      </c>
      <c r="F175" s="116">
        <f t="shared" si="32"/>
        <v>55460</v>
      </c>
      <c r="G175" s="117">
        <f t="shared" si="33"/>
        <v>0</v>
      </c>
      <c r="H175" s="116">
        <f t="shared" si="30"/>
        <v>55460</v>
      </c>
      <c r="I175" s="116">
        <f t="shared" si="34"/>
        <v>55785</v>
      </c>
      <c r="J175" s="119">
        <f t="shared" si="35"/>
        <v>60598</v>
      </c>
      <c r="K175" s="119">
        <f t="shared" si="36"/>
        <v>65996</v>
      </c>
      <c r="L175" s="110"/>
      <c r="M175" s="110"/>
      <c r="N175" s="110"/>
      <c r="O175" s="110"/>
      <c r="P175" s="110"/>
      <c r="Q175" s="110"/>
      <c r="R175" s="110"/>
    </row>
    <row r="176" spans="1:23" x14ac:dyDescent="0.3">
      <c r="A176" s="109">
        <v>151</v>
      </c>
      <c r="B176" s="58">
        <f t="shared" si="31"/>
        <v>4420382</v>
      </c>
      <c r="C176" s="116">
        <f t="shared" si="37"/>
        <v>44298</v>
      </c>
      <c r="D176" s="117">
        <f t="shared" si="38"/>
        <v>11162</v>
      </c>
      <c r="E176" s="116">
        <f t="shared" si="39"/>
        <v>39779</v>
      </c>
      <c r="F176" s="116">
        <f t="shared" si="32"/>
        <v>55460</v>
      </c>
      <c r="G176" s="117">
        <f t="shared" si="33"/>
        <v>0</v>
      </c>
      <c r="H176" s="116">
        <f t="shared" si="30"/>
        <v>55460</v>
      </c>
      <c r="I176" s="116">
        <f t="shared" si="34"/>
        <v>55785</v>
      </c>
      <c r="J176" s="119">
        <f t="shared" si="35"/>
        <v>60598</v>
      </c>
      <c r="K176" s="119">
        <f t="shared" si="36"/>
        <v>65996</v>
      </c>
      <c r="L176" s="110"/>
      <c r="M176" s="110"/>
      <c r="N176" s="110"/>
      <c r="O176" s="110"/>
      <c r="P176" s="110"/>
      <c r="Q176" s="110"/>
      <c r="R176" s="110"/>
    </row>
    <row r="177" spans="1:23" x14ac:dyDescent="0.3">
      <c r="A177" s="109">
        <v>152</v>
      </c>
      <c r="B177" s="58">
        <f t="shared" si="31"/>
        <v>4375973</v>
      </c>
      <c r="C177" s="116">
        <f t="shared" si="37"/>
        <v>44409</v>
      </c>
      <c r="D177" s="117">
        <f t="shared" si="38"/>
        <v>11051</v>
      </c>
      <c r="E177" s="116">
        <f t="shared" si="39"/>
        <v>39779</v>
      </c>
      <c r="F177" s="116">
        <f t="shared" si="32"/>
        <v>55460</v>
      </c>
      <c r="G177" s="117">
        <f t="shared" si="33"/>
        <v>0</v>
      </c>
      <c r="H177" s="116">
        <f t="shared" si="30"/>
        <v>55460</v>
      </c>
      <c r="I177" s="116">
        <f t="shared" si="34"/>
        <v>55785</v>
      </c>
      <c r="J177" s="119">
        <f t="shared" si="35"/>
        <v>60598</v>
      </c>
      <c r="K177" s="119">
        <f t="shared" si="36"/>
        <v>65996</v>
      </c>
      <c r="L177" s="110"/>
      <c r="M177" s="110"/>
      <c r="N177" s="110"/>
      <c r="O177" s="110"/>
      <c r="P177" s="110"/>
      <c r="Q177" s="110"/>
      <c r="R177" s="110"/>
    </row>
    <row r="178" spans="1:23" x14ac:dyDescent="0.3">
      <c r="A178" s="109">
        <v>153</v>
      </c>
      <c r="B178" s="58">
        <f t="shared" si="31"/>
        <v>4331453</v>
      </c>
      <c r="C178" s="116">
        <f t="shared" si="37"/>
        <v>44520</v>
      </c>
      <c r="D178" s="117">
        <f t="shared" si="38"/>
        <v>10940</v>
      </c>
      <c r="E178" s="116">
        <f t="shared" si="39"/>
        <v>39779</v>
      </c>
      <c r="F178" s="116">
        <f t="shared" si="32"/>
        <v>55460</v>
      </c>
      <c r="G178" s="117">
        <f t="shared" si="33"/>
        <v>0</v>
      </c>
      <c r="H178" s="116">
        <f t="shared" si="30"/>
        <v>55460</v>
      </c>
      <c r="I178" s="116">
        <f t="shared" si="34"/>
        <v>55785</v>
      </c>
      <c r="J178" s="119">
        <f t="shared" si="35"/>
        <v>60598</v>
      </c>
      <c r="K178" s="119">
        <f t="shared" si="36"/>
        <v>65996</v>
      </c>
      <c r="L178" s="110"/>
      <c r="M178" s="110"/>
      <c r="N178" s="110"/>
      <c r="O178" s="110"/>
      <c r="P178" s="110"/>
      <c r="Q178" s="110"/>
      <c r="R178" s="110"/>
    </row>
    <row r="179" spans="1:23" x14ac:dyDescent="0.3">
      <c r="A179" s="109">
        <v>154</v>
      </c>
      <c r="B179" s="58">
        <f t="shared" si="31"/>
        <v>4286822</v>
      </c>
      <c r="C179" s="116">
        <f t="shared" si="37"/>
        <v>44631</v>
      </c>
      <c r="D179" s="117">
        <f t="shared" si="38"/>
        <v>10829</v>
      </c>
      <c r="E179" s="116">
        <f t="shared" si="39"/>
        <v>39779</v>
      </c>
      <c r="F179" s="116">
        <f t="shared" si="32"/>
        <v>55460</v>
      </c>
      <c r="G179" s="117">
        <f t="shared" si="33"/>
        <v>0</v>
      </c>
      <c r="H179" s="116">
        <f t="shared" si="30"/>
        <v>55460</v>
      </c>
      <c r="I179" s="116">
        <f t="shared" si="34"/>
        <v>55785</v>
      </c>
      <c r="J179" s="119">
        <f t="shared" si="35"/>
        <v>60598</v>
      </c>
      <c r="K179" s="119">
        <f t="shared" si="36"/>
        <v>65996</v>
      </c>
      <c r="L179" s="110"/>
      <c r="M179" s="110"/>
      <c r="N179" s="110"/>
      <c r="O179" s="110"/>
      <c r="P179" s="110"/>
      <c r="Q179" s="110"/>
      <c r="R179" s="110"/>
    </row>
    <row r="180" spans="1:23" x14ac:dyDescent="0.3">
      <c r="A180" s="109">
        <v>155</v>
      </c>
      <c r="B180" s="58">
        <f t="shared" si="31"/>
        <v>4242079</v>
      </c>
      <c r="C180" s="116">
        <f t="shared" si="37"/>
        <v>44743</v>
      </c>
      <c r="D180" s="117">
        <f t="shared" si="38"/>
        <v>10717</v>
      </c>
      <c r="E180" s="116">
        <f t="shared" si="39"/>
        <v>39779</v>
      </c>
      <c r="F180" s="116">
        <f t="shared" si="32"/>
        <v>55460</v>
      </c>
      <c r="G180" s="117">
        <f t="shared" si="33"/>
        <v>0</v>
      </c>
      <c r="H180" s="116">
        <f t="shared" si="30"/>
        <v>55460</v>
      </c>
      <c r="I180" s="116">
        <f t="shared" si="34"/>
        <v>55785</v>
      </c>
      <c r="J180" s="119">
        <f t="shared" si="35"/>
        <v>60598</v>
      </c>
      <c r="K180" s="119">
        <f t="shared" si="36"/>
        <v>65996</v>
      </c>
      <c r="L180" s="110"/>
      <c r="M180" s="110"/>
      <c r="N180" s="110"/>
      <c r="O180" s="110"/>
      <c r="P180" s="110"/>
      <c r="Q180" s="110"/>
      <c r="R180" s="110"/>
    </row>
    <row r="181" spans="1:23" x14ac:dyDescent="0.3">
      <c r="A181" s="109">
        <v>156</v>
      </c>
      <c r="B181" s="58">
        <f t="shared" si="31"/>
        <v>4197224</v>
      </c>
      <c r="C181" s="116">
        <f t="shared" si="37"/>
        <v>44855</v>
      </c>
      <c r="D181" s="117">
        <f t="shared" si="38"/>
        <v>10605</v>
      </c>
      <c r="E181" s="116">
        <f t="shared" si="39"/>
        <v>39779</v>
      </c>
      <c r="F181" s="116">
        <f t="shared" si="32"/>
        <v>55460</v>
      </c>
      <c r="G181" s="117">
        <f t="shared" si="33"/>
        <v>0</v>
      </c>
      <c r="H181" s="116">
        <f t="shared" si="30"/>
        <v>55460</v>
      </c>
      <c r="I181" s="116">
        <f t="shared" si="34"/>
        <v>55785</v>
      </c>
      <c r="J181" s="119">
        <f t="shared" si="35"/>
        <v>60598</v>
      </c>
      <c r="K181" s="119">
        <f t="shared" si="36"/>
        <v>65996</v>
      </c>
      <c r="L181" s="58">
        <f t="shared" ref="L181:Q181" si="42">SUM(C170:C181)</f>
        <v>530937</v>
      </c>
      <c r="M181" s="58">
        <f t="shared" si="42"/>
        <v>134583</v>
      </c>
      <c r="N181" s="58">
        <f t="shared" si="42"/>
        <v>477348</v>
      </c>
      <c r="O181" s="58">
        <f t="shared" si="42"/>
        <v>665520</v>
      </c>
      <c r="P181" s="58">
        <f t="shared" si="42"/>
        <v>0</v>
      </c>
      <c r="Q181" s="58">
        <f t="shared" si="42"/>
        <v>665520</v>
      </c>
      <c r="R181" s="58">
        <f>SUM(J170:J181)</f>
        <v>727176</v>
      </c>
      <c r="S181" s="29">
        <f>SUM(K170:K181)</f>
        <v>791952</v>
      </c>
      <c r="T181" s="29"/>
      <c r="U181" s="29"/>
      <c r="V181" s="29"/>
      <c r="W181" s="29"/>
    </row>
    <row r="182" spans="1:23" x14ac:dyDescent="0.3">
      <c r="A182" s="109">
        <v>157</v>
      </c>
      <c r="B182" s="58">
        <f t="shared" si="31"/>
        <v>4152257</v>
      </c>
      <c r="C182" s="116">
        <f t="shared" si="37"/>
        <v>44967</v>
      </c>
      <c r="D182" s="117">
        <f t="shared" si="38"/>
        <v>10493</v>
      </c>
      <c r="E182" s="116">
        <f t="shared" si="39"/>
        <v>39779</v>
      </c>
      <c r="F182" s="116">
        <f t="shared" si="32"/>
        <v>55460</v>
      </c>
      <c r="G182" s="117">
        <f t="shared" si="33"/>
        <v>0</v>
      </c>
      <c r="H182" s="116">
        <f t="shared" si="30"/>
        <v>55460</v>
      </c>
      <c r="I182" s="116">
        <f t="shared" si="34"/>
        <v>55785</v>
      </c>
      <c r="J182" s="119">
        <f t="shared" si="35"/>
        <v>60598</v>
      </c>
      <c r="K182" s="119">
        <f t="shared" si="36"/>
        <v>65996</v>
      </c>
      <c r="L182" s="110"/>
      <c r="M182" s="110"/>
      <c r="N182" s="110"/>
      <c r="O182" s="110"/>
      <c r="P182" s="110"/>
      <c r="Q182" s="110"/>
      <c r="R182" s="110"/>
    </row>
    <row r="183" spans="1:23" x14ac:dyDescent="0.3">
      <c r="A183" s="109">
        <v>158</v>
      </c>
      <c r="B183" s="58">
        <f t="shared" si="31"/>
        <v>4107178</v>
      </c>
      <c r="C183" s="116">
        <f t="shared" si="37"/>
        <v>45079</v>
      </c>
      <c r="D183" s="117">
        <f t="shared" si="38"/>
        <v>10381</v>
      </c>
      <c r="E183" s="116">
        <f t="shared" si="39"/>
        <v>39779</v>
      </c>
      <c r="F183" s="116">
        <f t="shared" si="32"/>
        <v>55460</v>
      </c>
      <c r="G183" s="117">
        <f t="shared" si="33"/>
        <v>0</v>
      </c>
      <c r="H183" s="116">
        <f t="shared" si="30"/>
        <v>55460</v>
      </c>
      <c r="I183" s="116">
        <f t="shared" si="34"/>
        <v>55785</v>
      </c>
      <c r="J183" s="119">
        <f t="shared" si="35"/>
        <v>60598</v>
      </c>
      <c r="K183" s="119">
        <f t="shared" si="36"/>
        <v>65996</v>
      </c>
      <c r="L183" s="110"/>
      <c r="M183" s="110"/>
      <c r="N183" s="110"/>
      <c r="O183" s="110"/>
      <c r="P183" s="110"/>
      <c r="Q183" s="110"/>
      <c r="R183" s="110"/>
    </row>
    <row r="184" spans="1:23" x14ac:dyDescent="0.3">
      <c r="A184" s="109">
        <v>159</v>
      </c>
      <c r="B184" s="58">
        <f t="shared" si="31"/>
        <v>4061986</v>
      </c>
      <c r="C184" s="116">
        <f t="shared" si="37"/>
        <v>45192</v>
      </c>
      <c r="D184" s="117">
        <f t="shared" si="38"/>
        <v>10268</v>
      </c>
      <c r="E184" s="116">
        <f t="shared" si="39"/>
        <v>39779</v>
      </c>
      <c r="F184" s="116">
        <f t="shared" si="32"/>
        <v>55460</v>
      </c>
      <c r="G184" s="117">
        <f t="shared" si="33"/>
        <v>0</v>
      </c>
      <c r="H184" s="116">
        <f t="shared" si="30"/>
        <v>55460</v>
      </c>
      <c r="I184" s="116">
        <f t="shared" si="34"/>
        <v>55785</v>
      </c>
      <c r="J184" s="119">
        <f t="shared" si="35"/>
        <v>60598</v>
      </c>
      <c r="K184" s="119">
        <f t="shared" si="36"/>
        <v>65996</v>
      </c>
      <c r="L184" s="110"/>
      <c r="M184" s="110"/>
      <c r="N184" s="110"/>
      <c r="O184" s="110"/>
      <c r="P184" s="110"/>
      <c r="Q184" s="110"/>
      <c r="R184" s="110"/>
    </row>
    <row r="185" spans="1:23" x14ac:dyDescent="0.3">
      <c r="A185" s="109">
        <v>160</v>
      </c>
      <c r="B185" s="58">
        <f t="shared" si="31"/>
        <v>4016681</v>
      </c>
      <c r="C185" s="116">
        <f t="shared" si="37"/>
        <v>45305</v>
      </c>
      <c r="D185" s="117">
        <f t="shared" si="38"/>
        <v>10155</v>
      </c>
      <c r="E185" s="116">
        <f t="shared" si="39"/>
        <v>39779</v>
      </c>
      <c r="F185" s="116">
        <f t="shared" si="32"/>
        <v>55460</v>
      </c>
      <c r="G185" s="117">
        <f t="shared" si="33"/>
        <v>0</v>
      </c>
      <c r="H185" s="116">
        <f t="shared" si="30"/>
        <v>55460</v>
      </c>
      <c r="I185" s="116">
        <f t="shared" si="34"/>
        <v>55785</v>
      </c>
      <c r="J185" s="119">
        <f t="shared" si="35"/>
        <v>60598</v>
      </c>
      <c r="K185" s="119">
        <f t="shared" si="36"/>
        <v>65996</v>
      </c>
      <c r="L185" s="110"/>
      <c r="M185" s="110"/>
      <c r="N185" s="110"/>
      <c r="O185" s="110"/>
      <c r="P185" s="110"/>
      <c r="Q185" s="110"/>
      <c r="R185" s="110"/>
    </row>
    <row r="186" spans="1:23" x14ac:dyDescent="0.3">
      <c r="A186" s="109">
        <v>161</v>
      </c>
      <c r="B186" s="58">
        <f t="shared" si="31"/>
        <v>3971263</v>
      </c>
      <c r="C186" s="116">
        <f t="shared" si="37"/>
        <v>45418</v>
      </c>
      <c r="D186" s="117">
        <f t="shared" si="38"/>
        <v>10042</v>
      </c>
      <c r="E186" s="116">
        <f t="shared" si="39"/>
        <v>39779</v>
      </c>
      <c r="F186" s="116">
        <f t="shared" si="32"/>
        <v>55460</v>
      </c>
      <c r="G186" s="117">
        <f t="shared" si="33"/>
        <v>0</v>
      </c>
      <c r="H186" s="116">
        <f t="shared" si="30"/>
        <v>55460</v>
      </c>
      <c r="I186" s="116">
        <f t="shared" si="34"/>
        <v>55785</v>
      </c>
      <c r="J186" s="119">
        <f t="shared" si="35"/>
        <v>60598</v>
      </c>
      <c r="K186" s="119">
        <f t="shared" si="36"/>
        <v>65996</v>
      </c>
      <c r="L186" s="110"/>
      <c r="M186" s="110"/>
      <c r="N186" s="110"/>
      <c r="O186" s="110"/>
      <c r="P186" s="110"/>
      <c r="Q186" s="110"/>
      <c r="R186" s="110"/>
    </row>
    <row r="187" spans="1:23" x14ac:dyDescent="0.3">
      <c r="A187" s="109">
        <v>162</v>
      </c>
      <c r="B187" s="58">
        <f t="shared" si="31"/>
        <v>3925731</v>
      </c>
      <c r="C187" s="116">
        <f t="shared" si="37"/>
        <v>45532</v>
      </c>
      <c r="D187" s="117">
        <f t="shared" si="38"/>
        <v>9928</v>
      </c>
      <c r="E187" s="116">
        <f t="shared" si="39"/>
        <v>39779</v>
      </c>
      <c r="F187" s="116">
        <f t="shared" si="32"/>
        <v>55460</v>
      </c>
      <c r="G187" s="117">
        <f t="shared" si="33"/>
        <v>0</v>
      </c>
      <c r="H187" s="116">
        <f t="shared" si="30"/>
        <v>55460</v>
      </c>
      <c r="I187" s="116">
        <f t="shared" si="34"/>
        <v>55785</v>
      </c>
      <c r="J187" s="119">
        <f t="shared" si="35"/>
        <v>60598</v>
      </c>
      <c r="K187" s="119">
        <f t="shared" si="36"/>
        <v>65996</v>
      </c>
      <c r="L187" s="110"/>
      <c r="M187" s="110"/>
      <c r="N187" s="110"/>
      <c r="O187" s="110"/>
      <c r="P187" s="110"/>
      <c r="Q187" s="110"/>
      <c r="R187" s="110"/>
    </row>
    <row r="188" spans="1:23" x14ac:dyDescent="0.3">
      <c r="A188" s="109">
        <v>163</v>
      </c>
      <c r="B188" s="58">
        <f t="shared" si="31"/>
        <v>3880085</v>
      </c>
      <c r="C188" s="116">
        <f t="shared" si="37"/>
        <v>45646</v>
      </c>
      <c r="D188" s="117">
        <f t="shared" si="38"/>
        <v>9814</v>
      </c>
      <c r="E188" s="116">
        <f t="shared" si="39"/>
        <v>39779</v>
      </c>
      <c r="F188" s="116">
        <f t="shared" si="32"/>
        <v>55460</v>
      </c>
      <c r="G188" s="117">
        <f t="shared" si="33"/>
        <v>0</v>
      </c>
      <c r="H188" s="116">
        <f t="shared" si="30"/>
        <v>55460</v>
      </c>
      <c r="I188" s="116">
        <f t="shared" si="34"/>
        <v>55785</v>
      </c>
      <c r="J188" s="119">
        <f t="shared" si="35"/>
        <v>60598</v>
      </c>
      <c r="K188" s="119">
        <f t="shared" si="36"/>
        <v>65996</v>
      </c>
      <c r="L188" s="110"/>
      <c r="M188" s="110"/>
      <c r="N188" s="110"/>
      <c r="O188" s="110"/>
      <c r="P188" s="110"/>
      <c r="Q188" s="110"/>
      <c r="R188" s="110"/>
    </row>
    <row r="189" spans="1:23" x14ac:dyDescent="0.3">
      <c r="A189" s="109">
        <v>164</v>
      </c>
      <c r="B189" s="58">
        <f t="shared" si="31"/>
        <v>3834325</v>
      </c>
      <c r="C189" s="116">
        <f t="shared" si="37"/>
        <v>45760</v>
      </c>
      <c r="D189" s="117">
        <f t="shared" si="38"/>
        <v>9700</v>
      </c>
      <c r="E189" s="116">
        <f t="shared" si="39"/>
        <v>39779</v>
      </c>
      <c r="F189" s="116">
        <f t="shared" si="32"/>
        <v>55460</v>
      </c>
      <c r="G189" s="117">
        <f t="shared" si="33"/>
        <v>0</v>
      </c>
      <c r="H189" s="116">
        <f t="shared" si="30"/>
        <v>55460</v>
      </c>
      <c r="I189" s="116">
        <f t="shared" si="34"/>
        <v>55785</v>
      </c>
      <c r="J189" s="119">
        <f t="shared" si="35"/>
        <v>60598</v>
      </c>
      <c r="K189" s="119">
        <f t="shared" si="36"/>
        <v>65996</v>
      </c>
      <c r="L189" s="110"/>
      <c r="M189" s="110"/>
      <c r="N189" s="110"/>
      <c r="O189" s="110"/>
      <c r="P189" s="110"/>
      <c r="Q189" s="110"/>
      <c r="R189" s="110"/>
    </row>
    <row r="190" spans="1:23" x14ac:dyDescent="0.3">
      <c r="A190" s="109">
        <v>165</v>
      </c>
      <c r="B190" s="58">
        <f t="shared" si="31"/>
        <v>3788451</v>
      </c>
      <c r="C190" s="116">
        <f t="shared" si="37"/>
        <v>45874</v>
      </c>
      <c r="D190" s="117">
        <f t="shared" si="38"/>
        <v>9586</v>
      </c>
      <c r="E190" s="116">
        <f t="shared" si="39"/>
        <v>39779</v>
      </c>
      <c r="F190" s="116">
        <f t="shared" si="32"/>
        <v>55460</v>
      </c>
      <c r="G190" s="117">
        <f t="shared" si="33"/>
        <v>0</v>
      </c>
      <c r="H190" s="116">
        <f t="shared" si="30"/>
        <v>55460</v>
      </c>
      <c r="I190" s="116">
        <f t="shared" si="34"/>
        <v>55785</v>
      </c>
      <c r="J190" s="119">
        <f t="shared" si="35"/>
        <v>60598</v>
      </c>
      <c r="K190" s="119">
        <f t="shared" si="36"/>
        <v>65996</v>
      </c>
      <c r="L190" s="110"/>
      <c r="M190" s="110"/>
      <c r="N190" s="110"/>
      <c r="O190" s="110"/>
      <c r="P190" s="110"/>
      <c r="Q190" s="110"/>
      <c r="R190" s="110"/>
    </row>
    <row r="191" spans="1:23" x14ac:dyDescent="0.3">
      <c r="A191" s="109">
        <v>166</v>
      </c>
      <c r="B191" s="58">
        <f t="shared" si="31"/>
        <v>3742462</v>
      </c>
      <c r="C191" s="116">
        <f t="shared" si="37"/>
        <v>45989</v>
      </c>
      <c r="D191" s="117">
        <f t="shared" si="38"/>
        <v>9471</v>
      </c>
      <c r="E191" s="116">
        <f t="shared" si="39"/>
        <v>39779</v>
      </c>
      <c r="F191" s="116">
        <f t="shared" si="32"/>
        <v>55460</v>
      </c>
      <c r="G191" s="117">
        <f t="shared" si="33"/>
        <v>0</v>
      </c>
      <c r="H191" s="116">
        <f t="shared" si="30"/>
        <v>55460</v>
      </c>
      <c r="I191" s="116">
        <f t="shared" si="34"/>
        <v>55785</v>
      </c>
      <c r="J191" s="119">
        <f t="shared" si="35"/>
        <v>60598</v>
      </c>
      <c r="K191" s="119">
        <f t="shared" si="36"/>
        <v>65996</v>
      </c>
      <c r="L191" s="110"/>
      <c r="M191" s="110"/>
      <c r="N191" s="110"/>
      <c r="O191" s="110"/>
      <c r="P191" s="110"/>
      <c r="Q191" s="110"/>
      <c r="R191" s="110"/>
    </row>
    <row r="192" spans="1:23" x14ac:dyDescent="0.3">
      <c r="A192" s="109">
        <v>167</v>
      </c>
      <c r="B192" s="58">
        <f t="shared" si="31"/>
        <v>3696358</v>
      </c>
      <c r="C192" s="116">
        <f t="shared" si="37"/>
        <v>46104</v>
      </c>
      <c r="D192" s="117">
        <f t="shared" si="38"/>
        <v>9356</v>
      </c>
      <c r="E192" s="116">
        <f t="shared" si="39"/>
        <v>39779</v>
      </c>
      <c r="F192" s="116">
        <f t="shared" si="32"/>
        <v>55460</v>
      </c>
      <c r="G192" s="117">
        <f t="shared" si="33"/>
        <v>0</v>
      </c>
      <c r="H192" s="116">
        <f t="shared" si="30"/>
        <v>55460</v>
      </c>
      <c r="I192" s="116">
        <f t="shared" si="34"/>
        <v>55785</v>
      </c>
      <c r="J192" s="119">
        <f t="shared" si="35"/>
        <v>60598</v>
      </c>
      <c r="K192" s="119">
        <f t="shared" si="36"/>
        <v>65996</v>
      </c>
      <c r="L192" s="110"/>
      <c r="M192" s="110"/>
      <c r="N192" s="110"/>
      <c r="O192" s="110"/>
      <c r="P192" s="110"/>
      <c r="Q192" s="110"/>
      <c r="R192" s="110"/>
    </row>
    <row r="193" spans="1:23" x14ac:dyDescent="0.3">
      <c r="A193" s="109">
        <v>168</v>
      </c>
      <c r="B193" s="58">
        <f t="shared" si="31"/>
        <v>3650139</v>
      </c>
      <c r="C193" s="116">
        <f t="shared" si="37"/>
        <v>46219</v>
      </c>
      <c r="D193" s="117">
        <f t="shared" si="38"/>
        <v>9241</v>
      </c>
      <c r="E193" s="116">
        <f t="shared" si="39"/>
        <v>39779</v>
      </c>
      <c r="F193" s="116">
        <f t="shared" si="32"/>
        <v>55460</v>
      </c>
      <c r="G193" s="117">
        <f t="shared" si="33"/>
        <v>0</v>
      </c>
      <c r="H193" s="116">
        <f t="shared" si="30"/>
        <v>55460</v>
      </c>
      <c r="I193" s="116">
        <f t="shared" si="34"/>
        <v>55785</v>
      </c>
      <c r="J193" s="119">
        <f t="shared" si="35"/>
        <v>60598</v>
      </c>
      <c r="K193" s="119">
        <f t="shared" si="36"/>
        <v>65996</v>
      </c>
      <c r="L193" s="58">
        <f t="shared" ref="L193:Q193" si="43">SUM(C182:C193)</f>
        <v>547085</v>
      </c>
      <c r="M193" s="58">
        <f t="shared" si="43"/>
        <v>118435</v>
      </c>
      <c r="N193" s="58">
        <f t="shared" si="43"/>
        <v>477348</v>
      </c>
      <c r="O193" s="58">
        <f t="shared" si="43"/>
        <v>665520</v>
      </c>
      <c r="P193" s="58">
        <f t="shared" si="43"/>
        <v>0</v>
      </c>
      <c r="Q193" s="58">
        <f t="shared" si="43"/>
        <v>665520</v>
      </c>
      <c r="R193" s="58">
        <f>SUM(J182:J193)</f>
        <v>727176</v>
      </c>
      <c r="S193" s="29">
        <f>SUM(K182:K193)</f>
        <v>791952</v>
      </c>
      <c r="T193" s="29"/>
      <c r="U193" s="29"/>
      <c r="V193" s="29"/>
      <c r="W193" s="29"/>
    </row>
    <row r="194" spans="1:23" x14ac:dyDescent="0.3">
      <c r="A194" s="109">
        <v>169</v>
      </c>
      <c r="B194" s="58">
        <f t="shared" si="31"/>
        <v>3603804</v>
      </c>
      <c r="C194" s="116">
        <f t="shared" si="37"/>
        <v>46335</v>
      </c>
      <c r="D194" s="117">
        <f t="shared" si="38"/>
        <v>9125</v>
      </c>
      <c r="E194" s="116">
        <f t="shared" si="39"/>
        <v>39779</v>
      </c>
      <c r="F194" s="116">
        <f t="shared" si="32"/>
        <v>55460</v>
      </c>
      <c r="G194" s="117">
        <f t="shared" si="33"/>
        <v>0</v>
      </c>
      <c r="H194" s="116">
        <f t="shared" si="30"/>
        <v>55460</v>
      </c>
      <c r="I194" s="116">
        <f t="shared" si="34"/>
        <v>55785</v>
      </c>
      <c r="J194" s="119">
        <f t="shared" si="35"/>
        <v>60598</v>
      </c>
      <c r="K194" s="119">
        <f t="shared" si="36"/>
        <v>65996</v>
      </c>
      <c r="L194" s="110"/>
      <c r="M194" s="110"/>
      <c r="N194" s="110"/>
      <c r="O194" s="110"/>
      <c r="P194" s="110"/>
      <c r="Q194" s="110"/>
      <c r="R194" s="110"/>
    </row>
    <row r="195" spans="1:23" x14ac:dyDescent="0.3">
      <c r="A195" s="109">
        <v>170</v>
      </c>
      <c r="B195" s="58">
        <f t="shared" si="31"/>
        <v>3557354</v>
      </c>
      <c r="C195" s="116">
        <f t="shared" si="37"/>
        <v>46450</v>
      </c>
      <c r="D195" s="117">
        <f t="shared" si="38"/>
        <v>9010</v>
      </c>
      <c r="E195" s="116">
        <f t="shared" si="39"/>
        <v>39779</v>
      </c>
      <c r="F195" s="116">
        <f t="shared" si="32"/>
        <v>55460</v>
      </c>
      <c r="G195" s="117">
        <f t="shared" si="33"/>
        <v>0</v>
      </c>
      <c r="H195" s="116">
        <f t="shared" si="30"/>
        <v>55460</v>
      </c>
      <c r="I195" s="116">
        <f t="shared" si="34"/>
        <v>55785</v>
      </c>
      <c r="J195" s="119">
        <f t="shared" si="35"/>
        <v>60598</v>
      </c>
      <c r="K195" s="119">
        <f t="shared" si="36"/>
        <v>65996</v>
      </c>
      <c r="L195" s="110"/>
      <c r="M195" s="110"/>
      <c r="N195" s="110"/>
      <c r="O195" s="110"/>
      <c r="P195" s="110"/>
      <c r="Q195" s="110"/>
      <c r="R195" s="110"/>
    </row>
    <row r="196" spans="1:23" x14ac:dyDescent="0.3">
      <c r="A196" s="109">
        <v>171</v>
      </c>
      <c r="B196" s="58">
        <f t="shared" si="31"/>
        <v>3510787</v>
      </c>
      <c r="C196" s="116">
        <f t="shared" si="37"/>
        <v>46567</v>
      </c>
      <c r="D196" s="117">
        <f t="shared" si="38"/>
        <v>8893</v>
      </c>
      <c r="E196" s="116">
        <f t="shared" si="39"/>
        <v>39779</v>
      </c>
      <c r="F196" s="116">
        <f t="shared" si="32"/>
        <v>55460</v>
      </c>
      <c r="G196" s="117">
        <f t="shared" si="33"/>
        <v>0</v>
      </c>
      <c r="H196" s="116">
        <f t="shared" si="30"/>
        <v>55460</v>
      </c>
      <c r="I196" s="116">
        <f t="shared" si="34"/>
        <v>55785</v>
      </c>
      <c r="J196" s="119">
        <f t="shared" si="35"/>
        <v>60598</v>
      </c>
      <c r="K196" s="119">
        <f t="shared" si="36"/>
        <v>65996</v>
      </c>
      <c r="L196" s="110"/>
      <c r="M196" s="110"/>
      <c r="N196" s="110"/>
      <c r="O196" s="110"/>
      <c r="P196" s="110"/>
      <c r="Q196" s="110"/>
      <c r="R196" s="110"/>
    </row>
    <row r="197" spans="1:23" x14ac:dyDescent="0.3">
      <c r="A197" s="109">
        <v>172</v>
      </c>
      <c r="B197" s="58">
        <f t="shared" si="31"/>
        <v>3464104</v>
      </c>
      <c r="C197" s="116">
        <f t="shared" si="37"/>
        <v>46683</v>
      </c>
      <c r="D197" s="117">
        <f t="shared" si="38"/>
        <v>8777</v>
      </c>
      <c r="E197" s="116">
        <f t="shared" si="39"/>
        <v>39779</v>
      </c>
      <c r="F197" s="116">
        <f t="shared" si="32"/>
        <v>55460</v>
      </c>
      <c r="G197" s="117">
        <f t="shared" si="33"/>
        <v>0</v>
      </c>
      <c r="H197" s="116">
        <f t="shared" si="30"/>
        <v>55460</v>
      </c>
      <c r="I197" s="116">
        <f t="shared" si="34"/>
        <v>55785</v>
      </c>
      <c r="J197" s="119">
        <f t="shared" si="35"/>
        <v>60598</v>
      </c>
      <c r="K197" s="119">
        <f t="shared" si="36"/>
        <v>65996</v>
      </c>
      <c r="L197" s="110"/>
      <c r="M197" s="110"/>
      <c r="N197" s="110"/>
      <c r="O197" s="110"/>
      <c r="P197" s="110"/>
      <c r="Q197" s="110"/>
      <c r="R197" s="110"/>
    </row>
    <row r="198" spans="1:23" x14ac:dyDescent="0.3">
      <c r="A198" s="109">
        <v>173</v>
      </c>
      <c r="B198" s="58">
        <f t="shared" si="31"/>
        <v>3417304</v>
      </c>
      <c r="C198" s="116">
        <f t="shared" si="37"/>
        <v>46800</v>
      </c>
      <c r="D198" s="117">
        <f t="shared" si="38"/>
        <v>8660</v>
      </c>
      <c r="E198" s="116">
        <f t="shared" si="39"/>
        <v>39779</v>
      </c>
      <c r="F198" s="116">
        <f t="shared" si="32"/>
        <v>55460</v>
      </c>
      <c r="G198" s="117">
        <f t="shared" si="33"/>
        <v>0</v>
      </c>
      <c r="H198" s="116">
        <f t="shared" si="30"/>
        <v>55460</v>
      </c>
      <c r="I198" s="116">
        <f t="shared" si="34"/>
        <v>55785</v>
      </c>
      <c r="J198" s="119">
        <f t="shared" si="35"/>
        <v>60598</v>
      </c>
      <c r="K198" s="119">
        <f t="shared" si="36"/>
        <v>65996</v>
      </c>
      <c r="L198" s="110"/>
      <c r="M198" s="110"/>
      <c r="N198" s="110"/>
      <c r="O198" s="110"/>
      <c r="P198" s="110"/>
      <c r="Q198" s="110"/>
      <c r="R198" s="110"/>
    </row>
    <row r="199" spans="1:23" x14ac:dyDescent="0.3">
      <c r="A199" s="109">
        <v>174</v>
      </c>
      <c r="B199" s="58">
        <f t="shared" si="31"/>
        <v>3370387</v>
      </c>
      <c r="C199" s="116">
        <f t="shared" si="37"/>
        <v>46917</v>
      </c>
      <c r="D199" s="117">
        <f t="shared" si="38"/>
        <v>8543</v>
      </c>
      <c r="E199" s="116">
        <f t="shared" si="39"/>
        <v>39779</v>
      </c>
      <c r="F199" s="116">
        <f t="shared" si="32"/>
        <v>55460</v>
      </c>
      <c r="G199" s="117">
        <f t="shared" si="33"/>
        <v>0</v>
      </c>
      <c r="H199" s="116">
        <f t="shared" si="30"/>
        <v>55460</v>
      </c>
      <c r="I199" s="116">
        <f t="shared" si="34"/>
        <v>55785</v>
      </c>
      <c r="J199" s="119">
        <f t="shared" si="35"/>
        <v>60598</v>
      </c>
      <c r="K199" s="119">
        <f t="shared" si="36"/>
        <v>65996</v>
      </c>
      <c r="L199" s="110"/>
      <c r="M199" s="110"/>
      <c r="N199" s="110"/>
      <c r="O199" s="110"/>
      <c r="P199" s="110"/>
      <c r="Q199" s="110"/>
      <c r="R199" s="110"/>
    </row>
    <row r="200" spans="1:23" x14ac:dyDescent="0.3">
      <c r="A200" s="109">
        <v>175</v>
      </c>
      <c r="B200" s="58">
        <f t="shared" si="31"/>
        <v>3323353</v>
      </c>
      <c r="C200" s="116">
        <f t="shared" si="37"/>
        <v>47034</v>
      </c>
      <c r="D200" s="117">
        <f t="shared" si="38"/>
        <v>8426</v>
      </c>
      <c r="E200" s="116">
        <f t="shared" si="39"/>
        <v>39779</v>
      </c>
      <c r="F200" s="116">
        <f t="shared" si="32"/>
        <v>55460</v>
      </c>
      <c r="G200" s="117">
        <f t="shared" si="33"/>
        <v>0</v>
      </c>
      <c r="H200" s="116">
        <f t="shared" si="30"/>
        <v>55460</v>
      </c>
      <c r="I200" s="116">
        <f t="shared" si="34"/>
        <v>55785</v>
      </c>
      <c r="J200" s="119">
        <f t="shared" si="35"/>
        <v>60598</v>
      </c>
      <c r="K200" s="119">
        <f t="shared" si="36"/>
        <v>65996</v>
      </c>
      <c r="L200" s="110"/>
      <c r="M200" s="110"/>
      <c r="N200" s="110"/>
      <c r="O200" s="110"/>
      <c r="P200" s="110"/>
      <c r="Q200" s="110"/>
      <c r="R200" s="110"/>
    </row>
    <row r="201" spans="1:23" x14ac:dyDescent="0.3">
      <c r="A201" s="109">
        <v>176</v>
      </c>
      <c r="B201" s="58">
        <f t="shared" si="31"/>
        <v>3276201</v>
      </c>
      <c r="C201" s="116">
        <f t="shared" si="37"/>
        <v>47152</v>
      </c>
      <c r="D201" s="117">
        <f t="shared" si="38"/>
        <v>8308</v>
      </c>
      <c r="E201" s="116">
        <f t="shared" si="39"/>
        <v>39779</v>
      </c>
      <c r="F201" s="116">
        <f t="shared" si="32"/>
        <v>55460</v>
      </c>
      <c r="G201" s="117">
        <f t="shared" si="33"/>
        <v>0</v>
      </c>
      <c r="H201" s="116">
        <f t="shared" si="30"/>
        <v>55460</v>
      </c>
      <c r="I201" s="116">
        <f t="shared" si="34"/>
        <v>55785</v>
      </c>
      <c r="J201" s="119">
        <f t="shared" si="35"/>
        <v>60598</v>
      </c>
      <c r="K201" s="119">
        <f t="shared" si="36"/>
        <v>65996</v>
      </c>
      <c r="L201" s="110"/>
      <c r="M201" s="110"/>
      <c r="N201" s="110"/>
      <c r="O201" s="110"/>
      <c r="P201" s="110"/>
      <c r="Q201" s="110"/>
      <c r="R201" s="110"/>
    </row>
    <row r="202" spans="1:23" x14ac:dyDescent="0.3">
      <c r="A202" s="109">
        <v>177</v>
      </c>
      <c r="B202" s="58">
        <f t="shared" si="31"/>
        <v>3228932</v>
      </c>
      <c r="C202" s="116">
        <f t="shared" si="37"/>
        <v>47269</v>
      </c>
      <c r="D202" s="117">
        <f t="shared" si="38"/>
        <v>8191</v>
      </c>
      <c r="E202" s="116">
        <f t="shared" si="39"/>
        <v>39779</v>
      </c>
      <c r="F202" s="116">
        <f t="shared" si="32"/>
        <v>55460</v>
      </c>
      <c r="G202" s="117">
        <f t="shared" si="33"/>
        <v>0</v>
      </c>
      <c r="H202" s="116">
        <f t="shared" si="30"/>
        <v>55460</v>
      </c>
      <c r="I202" s="116">
        <f t="shared" si="34"/>
        <v>55785</v>
      </c>
      <c r="J202" s="119">
        <f t="shared" si="35"/>
        <v>60598</v>
      </c>
      <c r="K202" s="119">
        <f t="shared" si="36"/>
        <v>65996</v>
      </c>
      <c r="L202" s="110"/>
      <c r="M202" s="110"/>
      <c r="N202" s="110"/>
      <c r="O202" s="110"/>
      <c r="P202" s="110"/>
      <c r="Q202" s="110"/>
      <c r="R202" s="110"/>
    </row>
    <row r="203" spans="1:23" x14ac:dyDescent="0.3">
      <c r="A203" s="109">
        <v>178</v>
      </c>
      <c r="B203" s="58">
        <f t="shared" si="31"/>
        <v>3181544</v>
      </c>
      <c r="C203" s="116">
        <f t="shared" si="37"/>
        <v>47388</v>
      </c>
      <c r="D203" s="117">
        <f t="shared" si="38"/>
        <v>8072</v>
      </c>
      <c r="E203" s="116">
        <f t="shared" si="39"/>
        <v>39779</v>
      </c>
      <c r="F203" s="116">
        <f t="shared" si="32"/>
        <v>55460</v>
      </c>
      <c r="G203" s="117">
        <f t="shared" si="33"/>
        <v>0</v>
      </c>
      <c r="H203" s="116">
        <f t="shared" si="30"/>
        <v>55460</v>
      </c>
      <c r="I203" s="116">
        <f t="shared" si="34"/>
        <v>55785</v>
      </c>
      <c r="J203" s="119">
        <f t="shared" si="35"/>
        <v>60598</v>
      </c>
      <c r="K203" s="119">
        <f t="shared" si="36"/>
        <v>65996</v>
      </c>
      <c r="L203" s="110"/>
      <c r="M203" s="110"/>
      <c r="N203" s="110"/>
      <c r="O203" s="110"/>
      <c r="P203" s="110"/>
      <c r="Q203" s="110"/>
      <c r="R203" s="110"/>
    </row>
    <row r="204" spans="1:23" x14ac:dyDescent="0.3">
      <c r="A204" s="109">
        <v>179</v>
      </c>
      <c r="B204" s="58">
        <f t="shared" si="31"/>
        <v>3134038</v>
      </c>
      <c r="C204" s="116">
        <f t="shared" si="37"/>
        <v>47506</v>
      </c>
      <c r="D204" s="117">
        <f t="shared" si="38"/>
        <v>7954</v>
      </c>
      <c r="E204" s="116">
        <f t="shared" si="39"/>
        <v>39779</v>
      </c>
      <c r="F204" s="116">
        <f t="shared" si="32"/>
        <v>55460</v>
      </c>
      <c r="G204" s="117">
        <f t="shared" si="33"/>
        <v>0</v>
      </c>
      <c r="H204" s="116">
        <f t="shared" si="30"/>
        <v>55460</v>
      </c>
      <c r="I204" s="116">
        <f t="shared" si="34"/>
        <v>55785</v>
      </c>
      <c r="J204" s="119">
        <f t="shared" si="35"/>
        <v>60598</v>
      </c>
      <c r="K204" s="119">
        <f t="shared" si="36"/>
        <v>65996</v>
      </c>
      <c r="L204" s="110"/>
      <c r="M204" s="110"/>
      <c r="N204" s="110"/>
      <c r="O204" s="110"/>
      <c r="P204" s="110"/>
      <c r="Q204" s="110"/>
      <c r="R204" s="110"/>
    </row>
    <row r="205" spans="1:23" x14ac:dyDescent="0.3">
      <c r="A205" s="109">
        <v>180</v>
      </c>
      <c r="B205" s="58">
        <f t="shared" si="31"/>
        <v>3086413</v>
      </c>
      <c r="C205" s="116">
        <f t="shared" si="37"/>
        <v>47625</v>
      </c>
      <c r="D205" s="117">
        <f t="shared" si="38"/>
        <v>7835</v>
      </c>
      <c r="E205" s="116">
        <f t="shared" si="39"/>
        <v>39779</v>
      </c>
      <c r="F205" s="116">
        <f t="shared" si="32"/>
        <v>55460</v>
      </c>
      <c r="G205" s="117">
        <f t="shared" si="33"/>
        <v>0</v>
      </c>
      <c r="H205" s="116">
        <f t="shared" si="30"/>
        <v>55460</v>
      </c>
      <c r="I205" s="116">
        <f t="shared" si="34"/>
        <v>55785</v>
      </c>
      <c r="J205" s="119">
        <f t="shared" si="35"/>
        <v>60598</v>
      </c>
      <c r="K205" s="119">
        <f t="shared" si="36"/>
        <v>65996</v>
      </c>
      <c r="L205" s="58">
        <f t="shared" ref="L205:Q205" si="44">SUM(C194:C205)</f>
        <v>563726</v>
      </c>
      <c r="M205" s="58">
        <f t="shared" si="44"/>
        <v>101794</v>
      </c>
      <c r="N205" s="58">
        <f t="shared" si="44"/>
        <v>477348</v>
      </c>
      <c r="O205" s="58">
        <f t="shared" si="44"/>
        <v>665520</v>
      </c>
      <c r="P205" s="58">
        <f t="shared" si="44"/>
        <v>0</v>
      </c>
      <c r="Q205" s="58">
        <f t="shared" si="44"/>
        <v>665520</v>
      </c>
      <c r="R205" s="58">
        <f>SUM(J194:J205)</f>
        <v>727176</v>
      </c>
      <c r="S205" s="29">
        <f>SUM(K194:K205)</f>
        <v>791952</v>
      </c>
      <c r="T205" s="29"/>
      <c r="U205" s="29"/>
      <c r="V205" s="29"/>
      <c r="W205" s="29"/>
    </row>
    <row r="206" spans="1:23" x14ac:dyDescent="0.3">
      <c r="A206" s="109">
        <v>181</v>
      </c>
      <c r="B206" s="58">
        <f t="shared" si="31"/>
        <v>3038669</v>
      </c>
      <c r="C206" s="116">
        <f t="shared" si="37"/>
        <v>47744</v>
      </c>
      <c r="D206" s="117">
        <f t="shared" si="38"/>
        <v>7716</v>
      </c>
      <c r="E206" s="116">
        <f t="shared" si="39"/>
        <v>39779</v>
      </c>
      <c r="F206" s="116">
        <f t="shared" si="32"/>
        <v>55460</v>
      </c>
      <c r="G206" s="117">
        <f t="shared" si="33"/>
        <v>0</v>
      </c>
      <c r="H206" s="116">
        <f t="shared" si="30"/>
        <v>55460</v>
      </c>
      <c r="I206" s="116">
        <f t="shared" si="34"/>
        <v>55785</v>
      </c>
      <c r="J206" s="119">
        <f t="shared" si="35"/>
        <v>60598</v>
      </c>
      <c r="K206" s="119">
        <f t="shared" si="36"/>
        <v>65996</v>
      </c>
      <c r="L206" s="110"/>
      <c r="M206" s="110"/>
      <c r="N206" s="110"/>
      <c r="O206" s="110"/>
      <c r="P206" s="110"/>
      <c r="Q206" s="110"/>
      <c r="R206" s="110"/>
    </row>
    <row r="207" spans="1:23" x14ac:dyDescent="0.3">
      <c r="A207" s="109">
        <v>182</v>
      </c>
      <c r="B207" s="58">
        <f t="shared" si="31"/>
        <v>2990806</v>
      </c>
      <c r="C207" s="116">
        <f t="shared" si="37"/>
        <v>47863</v>
      </c>
      <c r="D207" s="117">
        <f t="shared" si="38"/>
        <v>7597</v>
      </c>
      <c r="E207" s="116">
        <f t="shared" si="39"/>
        <v>39779</v>
      </c>
      <c r="F207" s="116">
        <f t="shared" si="32"/>
        <v>55460</v>
      </c>
      <c r="G207" s="117">
        <f t="shared" si="33"/>
        <v>0</v>
      </c>
      <c r="H207" s="116">
        <f t="shared" si="30"/>
        <v>55460</v>
      </c>
      <c r="I207" s="116">
        <f t="shared" si="34"/>
        <v>55785</v>
      </c>
      <c r="J207" s="119">
        <f t="shared" si="35"/>
        <v>60598</v>
      </c>
      <c r="K207" s="119">
        <f t="shared" si="36"/>
        <v>65996</v>
      </c>
      <c r="L207" s="110"/>
      <c r="M207" s="110"/>
      <c r="N207" s="110"/>
      <c r="O207" s="110"/>
      <c r="P207" s="110"/>
      <c r="Q207" s="110"/>
      <c r="R207" s="110"/>
    </row>
    <row r="208" spans="1:23" x14ac:dyDescent="0.3">
      <c r="A208" s="109">
        <v>183</v>
      </c>
      <c r="B208" s="58">
        <f t="shared" si="31"/>
        <v>2942823</v>
      </c>
      <c r="C208" s="116">
        <f t="shared" si="37"/>
        <v>47983</v>
      </c>
      <c r="D208" s="117">
        <f t="shared" si="38"/>
        <v>7477</v>
      </c>
      <c r="E208" s="116">
        <f t="shared" si="39"/>
        <v>39779</v>
      </c>
      <c r="F208" s="116">
        <f t="shared" si="32"/>
        <v>55460</v>
      </c>
      <c r="G208" s="117">
        <f t="shared" si="33"/>
        <v>0</v>
      </c>
      <c r="H208" s="116">
        <f t="shared" si="30"/>
        <v>55460</v>
      </c>
      <c r="I208" s="116">
        <f t="shared" si="34"/>
        <v>55785</v>
      </c>
      <c r="J208" s="119">
        <f t="shared" si="35"/>
        <v>60598</v>
      </c>
      <c r="K208" s="119">
        <f t="shared" si="36"/>
        <v>65996</v>
      </c>
      <c r="L208" s="110"/>
      <c r="M208" s="110"/>
      <c r="N208" s="110"/>
      <c r="O208" s="110"/>
      <c r="P208" s="110"/>
      <c r="Q208" s="110"/>
      <c r="R208" s="110"/>
    </row>
    <row r="209" spans="1:23" x14ac:dyDescent="0.3">
      <c r="A209" s="109">
        <v>184</v>
      </c>
      <c r="B209" s="58">
        <f t="shared" si="31"/>
        <v>2894720</v>
      </c>
      <c r="C209" s="116">
        <f t="shared" si="37"/>
        <v>48103</v>
      </c>
      <c r="D209" s="117">
        <f t="shared" si="38"/>
        <v>7357</v>
      </c>
      <c r="E209" s="116">
        <f t="shared" si="39"/>
        <v>39779</v>
      </c>
      <c r="F209" s="116">
        <f t="shared" si="32"/>
        <v>55460</v>
      </c>
      <c r="G209" s="117">
        <f t="shared" si="33"/>
        <v>0</v>
      </c>
      <c r="H209" s="116">
        <f t="shared" si="30"/>
        <v>55460</v>
      </c>
      <c r="I209" s="116">
        <f t="shared" si="34"/>
        <v>55785</v>
      </c>
      <c r="J209" s="119">
        <f t="shared" si="35"/>
        <v>60598</v>
      </c>
      <c r="K209" s="119">
        <f t="shared" si="36"/>
        <v>65996</v>
      </c>
      <c r="L209" s="110"/>
      <c r="M209" s="110"/>
      <c r="N209" s="110"/>
      <c r="O209" s="110"/>
      <c r="P209" s="110"/>
      <c r="Q209" s="110"/>
      <c r="R209" s="110"/>
    </row>
    <row r="210" spans="1:23" x14ac:dyDescent="0.3">
      <c r="A210" s="109">
        <v>185</v>
      </c>
      <c r="B210" s="58">
        <f t="shared" si="31"/>
        <v>2846497</v>
      </c>
      <c r="C210" s="116">
        <f t="shared" si="37"/>
        <v>48223</v>
      </c>
      <c r="D210" s="117">
        <f t="shared" si="38"/>
        <v>7237</v>
      </c>
      <c r="E210" s="116">
        <f t="shared" si="39"/>
        <v>39779</v>
      </c>
      <c r="F210" s="116">
        <f t="shared" si="32"/>
        <v>55460</v>
      </c>
      <c r="G210" s="117">
        <f t="shared" si="33"/>
        <v>0</v>
      </c>
      <c r="H210" s="116">
        <f t="shared" ref="H210:H273" si="45">F210+G210</f>
        <v>55460</v>
      </c>
      <c r="I210" s="116">
        <f t="shared" si="34"/>
        <v>55785</v>
      </c>
      <c r="J210" s="119">
        <f t="shared" si="35"/>
        <v>60598</v>
      </c>
      <c r="K210" s="119">
        <f t="shared" si="36"/>
        <v>65996</v>
      </c>
      <c r="L210" s="110"/>
      <c r="M210" s="110"/>
      <c r="N210" s="110"/>
      <c r="O210" s="110"/>
      <c r="P210" s="110"/>
      <c r="Q210" s="110"/>
      <c r="R210" s="110"/>
    </row>
    <row r="211" spans="1:23" x14ac:dyDescent="0.3">
      <c r="A211" s="109">
        <v>186</v>
      </c>
      <c r="B211" s="58">
        <f t="shared" si="31"/>
        <v>2798153</v>
      </c>
      <c r="C211" s="116">
        <f t="shared" si="37"/>
        <v>48344</v>
      </c>
      <c r="D211" s="117">
        <f t="shared" si="38"/>
        <v>7116</v>
      </c>
      <c r="E211" s="116">
        <f t="shared" si="39"/>
        <v>39779</v>
      </c>
      <c r="F211" s="116">
        <f t="shared" si="32"/>
        <v>55460</v>
      </c>
      <c r="G211" s="117">
        <f t="shared" si="33"/>
        <v>0</v>
      </c>
      <c r="H211" s="116">
        <f t="shared" si="45"/>
        <v>55460</v>
      </c>
      <c r="I211" s="116">
        <f t="shared" si="34"/>
        <v>55785</v>
      </c>
      <c r="J211" s="119">
        <f t="shared" si="35"/>
        <v>60598</v>
      </c>
      <c r="K211" s="119">
        <f t="shared" si="36"/>
        <v>65996</v>
      </c>
      <c r="L211" s="110"/>
      <c r="M211" s="110"/>
      <c r="N211" s="110"/>
      <c r="O211" s="110"/>
      <c r="P211" s="110"/>
      <c r="Q211" s="110"/>
      <c r="R211" s="110"/>
    </row>
    <row r="212" spans="1:23" x14ac:dyDescent="0.3">
      <c r="A212" s="109">
        <v>187</v>
      </c>
      <c r="B212" s="58">
        <f t="shared" si="31"/>
        <v>2749688</v>
      </c>
      <c r="C212" s="116">
        <f t="shared" si="37"/>
        <v>48465</v>
      </c>
      <c r="D212" s="117">
        <f t="shared" si="38"/>
        <v>6995</v>
      </c>
      <c r="E212" s="116">
        <f t="shared" si="39"/>
        <v>39779</v>
      </c>
      <c r="F212" s="116">
        <f t="shared" si="32"/>
        <v>55460</v>
      </c>
      <c r="G212" s="117">
        <f t="shared" si="33"/>
        <v>0</v>
      </c>
      <c r="H212" s="116">
        <f t="shared" si="45"/>
        <v>55460</v>
      </c>
      <c r="I212" s="116">
        <f t="shared" si="34"/>
        <v>55785</v>
      </c>
      <c r="J212" s="119">
        <f t="shared" si="35"/>
        <v>60598</v>
      </c>
      <c r="K212" s="119">
        <f t="shared" si="36"/>
        <v>65996</v>
      </c>
      <c r="L212" s="110"/>
      <c r="M212" s="110"/>
      <c r="N212" s="110"/>
      <c r="O212" s="110"/>
      <c r="P212" s="110"/>
      <c r="Q212" s="110"/>
      <c r="R212" s="110"/>
    </row>
    <row r="213" spans="1:23" x14ac:dyDescent="0.3">
      <c r="A213" s="109">
        <v>188</v>
      </c>
      <c r="B213" s="58">
        <f t="shared" si="31"/>
        <v>2701102</v>
      </c>
      <c r="C213" s="116">
        <f t="shared" si="37"/>
        <v>48586</v>
      </c>
      <c r="D213" s="117">
        <f t="shared" si="38"/>
        <v>6874</v>
      </c>
      <c r="E213" s="116">
        <f t="shared" si="39"/>
        <v>39779</v>
      </c>
      <c r="F213" s="116">
        <f t="shared" si="32"/>
        <v>55460</v>
      </c>
      <c r="G213" s="117">
        <f t="shared" si="33"/>
        <v>0</v>
      </c>
      <c r="H213" s="116">
        <f t="shared" si="45"/>
        <v>55460</v>
      </c>
      <c r="I213" s="116">
        <f t="shared" si="34"/>
        <v>55785</v>
      </c>
      <c r="J213" s="119">
        <f t="shared" si="35"/>
        <v>60598</v>
      </c>
      <c r="K213" s="119">
        <f t="shared" si="36"/>
        <v>65996</v>
      </c>
      <c r="L213" s="110"/>
      <c r="M213" s="110"/>
      <c r="N213" s="110"/>
      <c r="O213" s="110"/>
      <c r="P213" s="110"/>
      <c r="Q213" s="110"/>
      <c r="R213" s="110"/>
    </row>
    <row r="214" spans="1:23" x14ac:dyDescent="0.3">
      <c r="A214" s="109">
        <v>189</v>
      </c>
      <c r="B214" s="58">
        <f t="shared" si="31"/>
        <v>2652395</v>
      </c>
      <c r="C214" s="116">
        <f t="shared" si="37"/>
        <v>48707</v>
      </c>
      <c r="D214" s="117">
        <f t="shared" si="38"/>
        <v>6753</v>
      </c>
      <c r="E214" s="116">
        <f t="shared" si="39"/>
        <v>39779</v>
      </c>
      <c r="F214" s="116">
        <f t="shared" si="32"/>
        <v>55460</v>
      </c>
      <c r="G214" s="117">
        <f t="shared" si="33"/>
        <v>0</v>
      </c>
      <c r="H214" s="116">
        <f t="shared" si="45"/>
        <v>55460</v>
      </c>
      <c r="I214" s="116">
        <f t="shared" si="34"/>
        <v>55785</v>
      </c>
      <c r="J214" s="119">
        <f t="shared" si="35"/>
        <v>60598</v>
      </c>
      <c r="K214" s="119">
        <f t="shared" si="36"/>
        <v>65996</v>
      </c>
      <c r="L214" s="110"/>
      <c r="M214" s="110"/>
      <c r="N214" s="110"/>
      <c r="O214" s="110"/>
      <c r="P214" s="110"/>
      <c r="Q214" s="110"/>
      <c r="R214" s="110"/>
    </row>
    <row r="215" spans="1:23" x14ac:dyDescent="0.3">
      <c r="A215" s="109">
        <v>190</v>
      </c>
      <c r="B215" s="58">
        <f t="shared" si="31"/>
        <v>2603566</v>
      </c>
      <c r="C215" s="116">
        <f t="shared" si="37"/>
        <v>48829</v>
      </c>
      <c r="D215" s="117">
        <f t="shared" si="38"/>
        <v>6631</v>
      </c>
      <c r="E215" s="116">
        <f t="shared" si="39"/>
        <v>39779</v>
      </c>
      <c r="F215" s="116">
        <f t="shared" si="32"/>
        <v>55460</v>
      </c>
      <c r="G215" s="117">
        <f t="shared" si="33"/>
        <v>0</v>
      </c>
      <c r="H215" s="116">
        <f t="shared" si="45"/>
        <v>55460</v>
      </c>
      <c r="I215" s="116">
        <f t="shared" si="34"/>
        <v>55785</v>
      </c>
      <c r="J215" s="119">
        <f t="shared" si="35"/>
        <v>60598</v>
      </c>
      <c r="K215" s="119">
        <f t="shared" si="36"/>
        <v>65996</v>
      </c>
      <c r="L215" s="110"/>
      <c r="M215" s="110"/>
      <c r="N215" s="110"/>
      <c r="O215" s="110"/>
      <c r="P215" s="110"/>
      <c r="Q215" s="110"/>
      <c r="R215" s="110"/>
    </row>
    <row r="216" spans="1:23" x14ac:dyDescent="0.3">
      <c r="A216" s="109">
        <v>191</v>
      </c>
      <c r="B216" s="58">
        <f t="shared" si="31"/>
        <v>2554615</v>
      </c>
      <c r="C216" s="116">
        <f t="shared" si="37"/>
        <v>48951</v>
      </c>
      <c r="D216" s="117">
        <f t="shared" si="38"/>
        <v>6509</v>
      </c>
      <c r="E216" s="116">
        <f t="shared" si="39"/>
        <v>39779</v>
      </c>
      <c r="F216" s="116">
        <f t="shared" si="32"/>
        <v>55460</v>
      </c>
      <c r="G216" s="117">
        <f t="shared" si="33"/>
        <v>0</v>
      </c>
      <c r="H216" s="116">
        <f t="shared" si="45"/>
        <v>55460</v>
      </c>
      <c r="I216" s="116">
        <f t="shared" si="34"/>
        <v>55785</v>
      </c>
      <c r="J216" s="119">
        <f t="shared" si="35"/>
        <v>60598</v>
      </c>
      <c r="K216" s="119">
        <f t="shared" si="36"/>
        <v>65996</v>
      </c>
      <c r="L216" s="110"/>
      <c r="M216" s="110"/>
      <c r="N216" s="110"/>
      <c r="O216" s="110"/>
      <c r="P216" s="110"/>
      <c r="Q216" s="110"/>
      <c r="R216" s="110"/>
    </row>
    <row r="217" spans="1:23" x14ac:dyDescent="0.3">
      <c r="A217" s="109">
        <v>192</v>
      </c>
      <c r="B217" s="58">
        <f t="shared" si="31"/>
        <v>2505542</v>
      </c>
      <c r="C217" s="116">
        <f t="shared" si="37"/>
        <v>49073</v>
      </c>
      <c r="D217" s="117">
        <f t="shared" si="38"/>
        <v>6387</v>
      </c>
      <c r="E217" s="116">
        <f t="shared" si="39"/>
        <v>39779</v>
      </c>
      <c r="F217" s="116">
        <f t="shared" si="32"/>
        <v>55460</v>
      </c>
      <c r="G217" s="117">
        <f t="shared" si="33"/>
        <v>0</v>
      </c>
      <c r="H217" s="116">
        <f t="shared" si="45"/>
        <v>55460</v>
      </c>
      <c r="I217" s="116">
        <f t="shared" si="34"/>
        <v>55785</v>
      </c>
      <c r="J217" s="119">
        <f t="shared" si="35"/>
        <v>60598</v>
      </c>
      <c r="K217" s="119">
        <f t="shared" si="36"/>
        <v>65996</v>
      </c>
      <c r="L217" s="58">
        <f t="shared" ref="L217:Q217" si="46">SUM(C206:C217)</f>
        <v>580871</v>
      </c>
      <c r="M217" s="58">
        <f t="shared" si="46"/>
        <v>84649</v>
      </c>
      <c r="N217" s="58">
        <f t="shared" si="46"/>
        <v>477348</v>
      </c>
      <c r="O217" s="58">
        <f t="shared" si="46"/>
        <v>665520</v>
      </c>
      <c r="P217" s="58">
        <f t="shared" si="46"/>
        <v>0</v>
      </c>
      <c r="Q217" s="58">
        <f t="shared" si="46"/>
        <v>665520</v>
      </c>
      <c r="R217" s="58">
        <f>SUM(J206:J217)</f>
        <v>727176</v>
      </c>
      <c r="S217" s="29">
        <f>SUM(K206:K217)</f>
        <v>791952</v>
      </c>
      <c r="T217" s="29"/>
      <c r="U217" s="29"/>
      <c r="V217" s="29"/>
      <c r="W217" s="29"/>
    </row>
    <row r="218" spans="1:23" x14ac:dyDescent="0.3">
      <c r="A218" s="109">
        <v>193</v>
      </c>
      <c r="B218" s="58">
        <f t="shared" ref="B218:B281" si="47">B217-C218</f>
        <v>2456346</v>
      </c>
      <c r="C218" s="116">
        <f t="shared" si="37"/>
        <v>49196</v>
      </c>
      <c r="D218" s="117">
        <f t="shared" si="38"/>
        <v>6264</v>
      </c>
      <c r="E218" s="116">
        <f t="shared" si="39"/>
        <v>39779</v>
      </c>
      <c r="F218" s="116">
        <f t="shared" ref="F218:F281" si="48">ROUND(IF(A218&gt;$G$6,(IF(A218&gt;=$C$3,B217+D218,PMT($C$4/12,$C$3-$G$6,-$B$25))),D218),0)</f>
        <v>55460</v>
      </c>
      <c r="G218" s="117">
        <f t="shared" ref="G218:G281" si="49">ROUND(IF(A218&gt;$G$6,0,$B$25*$C$14/360*30),0)</f>
        <v>0</v>
      </c>
      <c r="H218" s="116">
        <f t="shared" si="45"/>
        <v>55460</v>
      </c>
      <c r="I218" s="116">
        <f t="shared" ref="I218:I281" si="50">IF(A218&lt;=$C$3,H218+$C$17,0)</f>
        <v>55785</v>
      </c>
      <c r="J218" s="119">
        <f t="shared" ref="J218:J281" si="51">ROUND(IF(A218&gt;$G$6,(IF(A218&gt;=$C$3,B217+D218,PMT($L$12/12,$C$3-$G$6,-$B$25))),D218),0)</f>
        <v>60598</v>
      </c>
      <c r="K218" s="119">
        <f t="shared" ref="K218:K281" si="52">ROUND(IF(A218&gt;$G$6,(IF(A218&gt;=$C$3,B217+D218,PMT($L$13/12,$C$3-$G$6,-$B$25))),D218),0)</f>
        <v>65996</v>
      </c>
      <c r="L218" s="110"/>
      <c r="M218" s="110"/>
      <c r="N218" s="110"/>
      <c r="O218" s="110"/>
      <c r="P218" s="110"/>
      <c r="Q218" s="110"/>
      <c r="R218" s="110"/>
    </row>
    <row r="219" spans="1:23" x14ac:dyDescent="0.3">
      <c r="A219" s="109">
        <v>194</v>
      </c>
      <c r="B219" s="58">
        <f t="shared" si="47"/>
        <v>2407027</v>
      </c>
      <c r="C219" s="116">
        <f t="shared" ref="C219:C282" si="53">+F219-D219</f>
        <v>49319</v>
      </c>
      <c r="D219" s="117">
        <f t="shared" ref="D219:D282" si="54">ROUND(IF(A219&gt;$G$6,B218*$C$4*30/360,0),0)</f>
        <v>6141</v>
      </c>
      <c r="E219" s="116">
        <f t="shared" ref="E219:E282" si="55">ROUND(IF(A219&gt;$C$3,0,$B$25*($C$5/12)),0)</f>
        <v>39779</v>
      </c>
      <c r="F219" s="116">
        <f t="shared" si="48"/>
        <v>55460</v>
      </c>
      <c r="G219" s="117">
        <f t="shared" si="49"/>
        <v>0</v>
      </c>
      <c r="H219" s="116">
        <f t="shared" si="45"/>
        <v>55460</v>
      </c>
      <c r="I219" s="116">
        <f t="shared" si="50"/>
        <v>55785</v>
      </c>
      <c r="J219" s="119">
        <f t="shared" si="51"/>
        <v>60598</v>
      </c>
      <c r="K219" s="119">
        <f t="shared" si="52"/>
        <v>65996</v>
      </c>
      <c r="L219" s="110"/>
      <c r="M219" s="110"/>
      <c r="N219" s="110"/>
      <c r="O219" s="110"/>
      <c r="P219" s="110"/>
      <c r="Q219" s="110"/>
      <c r="R219" s="110"/>
    </row>
    <row r="220" spans="1:23" x14ac:dyDescent="0.3">
      <c r="A220" s="109">
        <v>195</v>
      </c>
      <c r="B220" s="58">
        <f t="shared" si="47"/>
        <v>2357585</v>
      </c>
      <c r="C220" s="116">
        <f t="shared" si="53"/>
        <v>49442</v>
      </c>
      <c r="D220" s="117">
        <f t="shared" si="54"/>
        <v>6018</v>
      </c>
      <c r="E220" s="116">
        <f t="shared" si="55"/>
        <v>39779</v>
      </c>
      <c r="F220" s="116">
        <f t="shared" si="48"/>
        <v>55460</v>
      </c>
      <c r="G220" s="117">
        <f t="shared" si="49"/>
        <v>0</v>
      </c>
      <c r="H220" s="116">
        <f t="shared" si="45"/>
        <v>55460</v>
      </c>
      <c r="I220" s="116">
        <f t="shared" si="50"/>
        <v>55785</v>
      </c>
      <c r="J220" s="119">
        <f t="shared" si="51"/>
        <v>60598</v>
      </c>
      <c r="K220" s="119">
        <f t="shared" si="52"/>
        <v>65996</v>
      </c>
      <c r="L220" s="110"/>
      <c r="M220" s="110"/>
      <c r="N220" s="110"/>
      <c r="O220" s="110"/>
      <c r="P220" s="110"/>
      <c r="Q220" s="110"/>
      <c r="R220" s="110"/>
    </row>
    <row r="221" spans="1:23" x14ac:dyDescent="0.3">
      <c r="A221" s="109">
        <v>196</v>
      </c>
      <c r="B221" s="58">
        <f t="shared" si="47"/>
        <v>2308019</v>
      </c>
      <c r="C221" s="116">
        <f t="shared" si="53"/>
        <v>49566</v>
      </c>
      <c r="D221" s="117">
        <f t="shared" si="54"/>
        <v>5894</v>
      </c>
      <c r="E221" s="116">
        <f t="shared" si="55"/>
        <v>39779</v>
      </c>
      <c r="F221" s="116">
        <f t="shared" si="48"/>
        <v>55460</v>
      </c>
      <c r="G221" s="117">
        <f t="shared" si="49"/>
        <v>0</v>
      </c>
      <c r="H221" s="116">
        <f t="shared" si="45"/>
        <v>55460</v>
      </c>
      <c r="I221" s="116">
        <f t="shared" si="50"/>
        <v>55785</v>
      </c>
      <c r="J221" s="119">
        <f t="shared" si="51"/>
        <v>60598</v>
      </c>
      <c r="K221" s="119">
        <f t="shared" si="52"/>
        <v>65996</v>
      </c>
      <c r="L221" s="110"/>
      <c r="M221" s="110"/>
      <c r="N221" s="110"/>
      <c r="O221" s="110"/>
      <c r="P221" s="110"/>
      <c r="Q221" s="110"/>
      <c r="R221" s="110"/>
    </row>
    <row r="222" spans="1:23" x14ac:dyDescent="0.3">
      <c r="A222" s="109">
        <v>197</v>
      </c>
      <c r="B222" s="58">
        <f t="shared" si="47"/>
        <v>2258329</v>
      </c>
      <c r="C222" s="116">
        <f t="shared" si="53"/>
        <v>49690</v>
      </c>
      <c r="D222" s="117">
        <f t="shared" si="54"/>
        <v>5770</v>
      </c>
      <c r="E222" s="116">
        <f t="shared" si="55"/>
        <v>39779</v>
      </c>
      <c r="F222" s="116">
        <f t="shared" si="48"/>
        <v>55460</v>
      </c>
      <c r="G222" s="117">
        <f t="shared" si="49"/>
        <v>0</v>
      </c>
      <c r="H222" s="116">
        <f t="shared" si="45"/>
        <v>55460</v>
      </c>
      <c r="I222" s="116">
        <f t="shared" si="50"/>
        <v>55785</v>
      </c>
      <c r="J222" s="119">
        <f t="shared" si="51"/>
        <v>60598</v>
      </c>
      <c r="K222" s="119">
        <f t="shared" si="52"/>
        <v>65996</v>
      </c>
      <c r="L222" s="110"/>
      <c r="M222" s="110"/>
      <c r="N222" s="110"/>
      <c r="O222" s="110"/>
      <c r="P222" s="110"/>
      <c r="Q222" s="110"/>
      <c r="R222" s="110"/>
    </row>
    <row r="223" spans="1:23" x14ac:dyDescent="0.3">
      <c r="A223" s="109">
        <v>198</v>
      </c>
      <c r="B223" s="58">
        <f t="shared" si="47"/>
        <v>2208515</v>
      </c>
      <c r="C223" s="116">
        <f t="shared" si="53"/>
        <v>49814</v>
      </c>
      <c r="D223" s="117">
        <f t="shared" si="54"/>
        <v>5646</v>
      </c>
      <c r="E223" s="116">
        <f t="shared" si="55"/>
        <v>39779</v>
      </c>
      <c r="F223" s="116">
        <f t="shared" si="48"/>
        <v>55460</v>
      </c>
      <c r="G223" s="117">
        <f t="shared" si="49"/>
        <v>0</v>
      </c>
      <c r="H223" s="116">
        <f t="shared" si="45"/>
        <v>55460</v>
      </c>
      <c r="I223" s="116">
        <f t="shared" si="50"/>
        <v>55785</v>
      </c>
      <c r="J223" s="119">
        <f t="shared" si="51"/>
        <v>60598</v>
      </c>
      <c r="K223" s="119">
        <f t="shared" si="52"/>
        <v>65996</v>
      </c>
      <c r="L223" s="110"/>
      <c r="M223" s="110"/>
      <c r="N223" s="110"/>
      <c r="O223" s="110"/>
      <c r="P223" s="110"/>
      <c r="Q223" s="110"/>
      <c r="R223" s="110"/>
    </row>
    <row r="224" spans="1:23" x14ac:dyDescent="0.3">
      <c r="A224" s="109">
        <v>199</v>
      </c>
      <c r="B224" s="58">
        <f t="shared" si="47"/>
        <v>2158576</v>
      </c>
      <c r="C224" s="116">
        <f t="shared" si="53"/>
        <v>49939</v>
      </c>
      <c r="D224" s="117">
        <f t="shared" si="54"/>
        <v>5521</v>
      </c>
      <c r="E224" s="116">
        <f t="shared" si="55"/>
        <v>39779</v>
      </c>
      <c r="F224" s="116">
        <f t="shared" si="48"/>
        <v>55460</v>
      </c>
      <c r="G224" s="117">
        <f t="shared" si="49"/>
        <v>0</v>
      </c>
      <c r="H224" s="116">
        <f t="shared" si="45"/>
        <v>55460</v>
      </c>
      <c r="I224" s="116">
        <f t="shared" si="50"/>
        <v>55785</v>
      </c>
      <c r="J224" s="119">
        <f t="shared" si="51"/>
        <v>60598</v>
      </c>
      <c r="K224" s="119">
        <f t="shared" si="52"/>
        <v>65996</v>
      </c>
      <c r="L224" s="110"/>
      <c r="M224" s="110"/>
      <c r="N224" s="110"/>
      <c r="O224" s="110"/>
      <c r="P224" s="110"/>
      <c r="Q224" s="110"/>
      <c r="R224" s="110"/>
    </row>
    <row r="225" spans="1:23" x14ac:dyDescent="0.3">
      <c r="A225" s="109">
        <v>200</v>
      </c>
      <c r="B225" s="58">
        <f t="shared" si="47"/>
        <v>2108512</v>
      </c>
      <c r="C225" s="116">
        <f t="shared" si="53"/>
        <v>50064</v>
      </c>
      <c r="D225" s="117">
        <f t="shared" si="54"/>
        <v>5396</v>
      </c>
      <c r="E225" s="116">
        <f t="shared" si="55"/>
        <v>39779</v>
      </c>
      <c r="F225" s="116">
        <f t="shared" si="48"/>
        <v>55460</v>
      </c>
      <c r="G225" s="117">
        <f t="shared" si="49"/>
        <v>0</v>
      </c>
      <c r="H225" s="116">
        <f t="shared" si="45"/>
        <v>55460</v>
      </c>
      <c r="I225" s="116">
        <f t="shared" si="50"/>
        <v>55785</v>
      </c>
      <c r="J225" s="119">
        <f t="shared" si="51"/>
        <v>60598</v>
      </c>
      <c r="K225" s="119">
        <f t="shared" si="52"/>
        <v>65996</v>
      </c>
      <c r="L225" s="110"/>
      <c r="M225" s="110"/>
      <c r="N225" s="110"/>
      <c r="O225" s="110"/>
      <c r="P225" s="110"/>
      <c r="Q225" s="110"/>
      <c r="R225" s="110"/>
    </row>
    <row r="226" spans="1:23" x14ac:dyDescent="0.3">
      <c r="A226" s="109">
        <v>201</v>
      </c>
      <c r="B226" s="58">
        <f t="shared" si="47"/>
        <v>2058323</v>
      </c>
      <c r="C226" s="116">
        <f t="shared" si="53"/>
        <v>50189</v>
      </c>
      <c r="D226" s="117">
        <f t="shared" si="54"/>
        <v>5271</v>
      </c>
      <c r="E226" s="116">
        <f t="shared" si="55"/>
        <v>39779</v>
      </c>
      <c r="F226" s="116">
        <f t="shared" si="48"/>
        <v>55460</v>
      </c>
      <c r="G226" s="117">
        <f t="shared" si="49"/>
        <v>0</v>
      </c>
      <c r="H226" s="116">
        <f t="shared" si="45"/>
        <v>55460</v>
      </c>
      <c r="I226" s="116">
        <f t="shared" si="50"/>
        <v>55785</v>
      </c>
      <c r="J226" s="119">
        <f t="shared" si="51"/>
        <v>60598</v>
      </c>
      <c r="K226" s="119">
        <f t="shared" si="52"/>
        <v>65996</v>
      </c>
      <c r="L226" s="110"/>
      <c r="M226" s="110"/>
      <c r="N226" s="110"/>
      <c r="O226" s="110"/>
      <c r="P226" s="110"/>
      <c r="Q226" s="110"/>
      <c r="R226" s="110"/>
    </row>
    <row r="227" spans="1:23" x14ac:dyDescent="0.3">
      <c r="A227" s="109">
        <v>202</v>
      </c>
      <c r="B227" s="58">
        <f t="shared" si="47"/>
        <v>2008009</v>
      </c>
      <c r="C227" s="116">
        <f t="shared" si="53"/>
        <v>50314</v>
      </c>
      <c r="D227" s="117">
        <f t="shared" si="54"/>
        <v>5146</v>
      </c>
      <c r="E227" s="116">
        <f t="shared" si="55"/>
        <v>39779</v>
      </c>
      <c r="F227" s="116">
        <f t="shared" si="48"/>
        <v>55460</v>
      </c>
      <c r="G227" s="117">
        <f t="shared" si="49"/>
        <v>0</v>
      </c>
      <c r="H227" s="116">
        <f t="shared" si="45"/>
        <v>55460</v>
      </c>
      <c r="I227" s="116">
        <f t="shared" si="50"/>
        <v>55785</v>
      </c>
      <c r="J227" s="119">
        <f t="shared" si="51"/>
        <v>60598</v>
      </c>
      <c r="K227" s="119">
        <f t="shared" si="52"/>
        <v>65996</v>
      </c>
      <c r="L227" s="110"/>
      <c r="M227" s="110"/>
      <c r="N227" s="110"/>
      <c r="O227" s="110"/>
      <c r="P227" s="110"/>
      <c r="Q227" s="110"/>
      <c r="R227" s="110"/>
    </row>
    <row r="228" spans="1:23" x14ac:dyDescent="0.3">
      <c r="A228" s="109">
        <v>203</v>
      </c>
      <c r="B228" s="58">
        <f t="shared" si="47"/>
        <v>1957569</v>
      </c>
      <c r="C228" s="116">
        <f t="shared" si="53"/>
        <v>50440</v>
      </c>
      <c r="D228" s="117">
        <f t="shared" si="54"/>
        <v>5020</v>
      </c>
      <c r="E228" s="116">
        <f t="shared" si="55"/>
        <v>39779</v>
      </c>
      <c r="F228" s="116">
        <f t="shared" si="48"/>
        <v>55460</v>
      </c>
      <c r="G228" s="117">
        <f t="shared" si="49"/>
        <v>0</v>
      </c>
      <c r="H228" s="116">
        <f t="shared" si="45"/>
        <v>55460</v>
      </c>
      <c r="I228" s="116">
        <f t="shared" si="50"/>
        <v>55785</v>
      </c>
      <c r="J228" s="119">
        <f t="shared" si="51"/>
        <v>60598</v>
      </c>
      <c r="K228" s="119">
        <f t="shared" si="52"/>
        <v>65996</v>
      </c>
      <c r="L228" s="110"/>
      <c r="M228" s="110"/>
      <c r="N228" s="110"/>
      <c r="O228" s="110"/>
      <c r="P228" s="110"/>
      <c r="Q228" s="110"/>
      <c r="R228" s="110"/>
    </row>
    <row r="229" spans="1:23" x14ac:dyDescent="0.3">
      <c r="A229" s="109">
        <v>204</v>
      </c>
      <c r="B229" s="58">
        <f t="shared" si="47"/>
        <v>1907003</v>
      </c>
      <c r="C229" s="116">
        <f t="shared" si="53"/>
        <v>50566</v>
      </c>
      <c r="D229" s="117">
        <f t="shared" si="54"/>
        <v>4894</v>
      </c>
      <c r="E229" s="116">
        <f t="shared" si="55"/>
        <v>39779</v>
      </c>
      <c r="F229" s="116">
        <f t="shared" si="48"/>
        <v>55460</v>
      </c>
      <c r="G229" s="117">
        <f t="shared" si="49"/>
        <v>0</v>
      </c>
      <c r="H229" s="116">
        <f t="shared" si="45"/>
        <v>55460</v>
      </c>
      <c r="I229" s="116">
        <f t="shared" si="50"/>
        <v>55785</v>
      </c>
      <c r="J229" s="119">
        <f t="shared" si="51"/>
        <v>60598</v>
      </c>
      <c r="K229" s="119">
        <f t="shared" si="52"/>
        <v>65996</v>
      </c>
      <c r="L229" s="58">
        <f t="shared" ref="L229:Q229" si="56">SUM(C218:C229)</f>
        <v>598539</v>
      </c>
      <c r="M229" s="58">
        <f t="shared" si="56"/>
        <v>66981</v>
      </c>
      <c r="N229" s="58">
        <f t="shared" si="56"/>
        <v>477348</v>
      </c>
      <c r="O229" s="58">
        <f t="shared" si="56"/>
        <v>665520</v>
      </c>
      <c r="P229" s="58">
        <f t="shared" si="56"/>
        <v>0</v>
      </c>
      <c r="Q229" s="58">
        <f t="shared" si="56"/>
        <v>665520</v>
      </c>
      <c r="R229" s="58">
        <f>SUM(J218:J229)</f>
        <v>727176</v>
      </c>
      <c r="S229" s="29">
        <f>SUM(K218:K229)</f>
        <v>791952</v>
      </c>
      <c r="T229" s="29"/>
      <c r="U229" s="29"/>
      <c r="V229" s="29"/>
      <c r="W229" s="29"/>
    </row>
    <row r="230" spans="1:23" x14ac:dyDescent="0.3">
      <c r="A230" s="109">
        <v>205</v>
      </c>
      <c r="B230" s="58">
        <f t="shared" si="47"/>
        <v>1856311</v>
      </c>
      <c r="C230" s="116">
        <f t="shared" si="53"/>
        <v>50692</v>
      </c>
      <c r="D230" s="117">
        <f t="shared" si="54"/>
        <v>4768</v>
      </c>
      <c r="E230" s="116">
        <f t="shared" si="55"/>
        <v>39779</v>
      </c>
      <c r="F230" s="116">
        <f t="shared" si="48"/>
        <v>55460</v>
      </c>
      <c r="G230" s="117">
        <f t="shared" si="49"/>
        <v>0</v>
      </c>
      <c r="H230" s="116">
        <f t="shared" si="45"/>
        <v>55460</v>
      </c>
      <c r="I230" s="116">
        <f t="shared" si="50"/>
        <v>55785</v>
      </c>
      <c r="J230" s="119">
        <f t="shared" si="51"/>
        <v>60598</v>
      </c>
      <c r="K230" s="119">
        <f t="shared" si="52"/>
        <v>65996</v>
      </c>
      <c r="L230" s="110"/>
      <c r="M230" s="110"/>
      <c r="N230" s="110"/>
      <c r="O230" s="110"/>
      <c r="P230" s="110"/>
      <c r="Q230" s="110"/>
      <c r="R230" s="110"/>
    </row>
    <row r="231" spans="1:23" x14ac:dyDescent="0.3">
      <c r="A231" s="109">
        <v>206</v>
      </c>
      <c r="B231" s="58">
        <f t="shared" si="47"/>
        <v>1805492</v>
      </c>
      <c r="C231" s="116">
        <f t="shared" si="53"/>
        <v>50819</v>
      </c>
      <c r="D231" s="117">
        <f t="shared" si="54"/>
        <v>4641</v>
      </c>
      <c r="E231" s="116">
        <f t="shared" si="55"/>
        <v>39779</v>
      </c>
      <c r="F231" s="116">
        <f t="shared" si="48"/>
        <v>55460</v>
      </c>
      <c r="G231" s="117">
        <f t="shared" si="49"/>
        <v>0</v>
      </c>
      <c r="H231" s="116">
        <f t="shared" si="45"/>
        <v>55460</v>
      </c>
      <c r="I231" s="116">
        <f t="shared" si="50"/>
        <v>55785</v>
      </c>
      <c r="J231" s="119">
        <f t="shared" si="51"/>
        <v>60598</v>
      </c>
      <c r="K231" s="119">
        <f t="shared" si="52"/>
        <v>65996</v>
      </c>
      <c r="L231" s="110"/>
      <c r="M231" s="110"/>
      <c r="N231" s="110"/>
      <c r="O231" s="110"/>
      <c r="P231" s="110"/>
      <c r="Q231" s="110"/>
      <c r="R231" s="110"/>
    </row>
    <row r="232" spans="1:23" x14ac:dyDescent="0.3">
      <c r="A232" s="109">
        <v>207</v>
      </c>
      <c r="B232" s="58">
        <f t="shared" si="47"/>
        <v>1754546</v>
      </c>
      <c r="C232" s="116">
        <f t="shared" si="53"/>
        <v>50946</v>
      </c>
      <c r="D232" s="117">
        <f t="shared" si="54"/>
        <v>4514</v>
      </c>
      <c r="E232" s="116">
        <f t="shared" si="55"/>
        <v>39779</v>
      </c>
      <c r="F232" s="116">
        <f t="shared" si="48"/>
        <v>55460</v>
      </c>
      <c r="G232" s="117">
        <f t="shared" si="49"/>
        <v>0</v>
      </c>
      <c r="H232" s="116">
        <f t="shared" si="45"/>
        <v>55460</v>
      </c>
      <c r="I232" s="116">
        <f t="shared" si="50"/>
        <v>55785</v>
      </c>
      <c r="J232" s="119">
        <f t="shared" si="51"/>
        <v>60598</v>
      </c>
      <c r="K232" s="119">
        <f t="shared" si="52"/>
        <v>65996</v>
      </c>
      <c r="L232" s="110"/>
      <c r="M232" s="110"/>
      <c r="N232" s="110"/>
      <c r="O232" s="110"/>
      <c r="P232" s="110"/>
      <c r="Q232" s="110"/>
      <c r="R232" s="110"/>
    </row>
    <row r="233" spans="1:23" x14ac:dyDescent="0.3">
      <c r="A233" s="109">
        <v>208</v>
      </c>
      <c r="B233" s="58">
        <f t="shared" si="47"/>
        <v>1703472</v>
      </c>
      <c r="C233" s="116">
        <f t="shared" si="53"/>
        <v>51074</v>
      </c>
      <c r="D233" s="117">
        <f t="shared" si="54"/>
        <v>4386</v>
      </c>
      <c r="E233" s="116">
        <f t="shared" si="55"/>
        <v>39779</v>
      </c>
      <c r="F233" s="116">
        <f t="shared" si="48"/>
        <v>55460</v>
      </c>
      <c r="G233" s="117">
        <f t="shared" si="49"/>
        <v>0</v>
      </c>
      <c r="H233" s="116">
        <f t="shared" si="45"/>
        <v>55460</v>
      </c>
      <c r="I233" s="116">
        <f t="shared" si="50"/>
        <v>55785</v>
      </c>
      <c r="J233" s="119">
        <f t="shared" si="51"/>
        <v>60598</v>
      </c>
      <c r="K233" s="119">
        <f t="shared" si="52"/>
        <v>65996</v>
      </c>
      <c r="L233" s="110"/>
      <c r="M233" s="110"/>
      <c r="N233" s="110"/>
      <c r="O233" s="110"/>
      <c r="P233" s="110"/>
      <c r="Q233" s="110"/>
      <c r="R233" s="110"/>
    </row>
    <row r="234" spans="1:23" x14ac:dyDescent="0.3">
      <c r="A234" s="109">
        <v>209</v>
      </c>
      <c r="B234" s="58">
        <f t="shared" si="47"/>
        <v>1652271</v>
      </c>
      <c r="C234" s="116">
        <f t="shared" si="53"/>
        <v>51201</v>
      </c>
      <c r="D234" s="117">
        <f t="shared" si="54"/>
        <v>4259</v>
      </c>
      <c r="E234" s="116">
        <f t="shared" si="55"/>
        <v>39779</v>
      </c>
      <c r="F234" s="116">
        <f t="shared" si="48"/>
        <v>55460</v>
      </c>
      <c r="G234" s="117">
        <f t="shared" si="49"/>
        <v>0</v>
      </c>
      <c r="H234" s="116">
        <f t="shared" si="45"/>
        <v>55460</v>
      </c>
      <c r="I234" s="116">
        <f t="shared" si="50"/>
        <v>55785</v>
      </c>
      <c r="J234" s="119">
        <f t="shared" si="51"/>
        <v>60598</v>
      </c>
      <c r="K234" s="119">
        <f t="shared" si="52"/>
        <v>65996</v>
      </c>
      <c r="L234" s="110"/>
      <c r="M234" s="110"/>
      <c r="N234" s="110"/>
      <c r="O234" s="110"/>
      <c r="P234" s="110"/>
      <c r="Q234" s="110"/>
      <c r="R234" s="110"/>
    </row>
    <row r="235" spans="1:23" x14ac:dyDescent="0.3">
      <c r="A235" s="109">
        <v>210</v>
      </c>
      <c r="B235" s="58">
        <f t="shared" si="47"/>
        <v>1600942</v>
      </c>
      <c r="C235" s="116">
        <f t="shared" si="53"/>
        <v>51329</v>
      </c>
      <c r="D235" s="117">
        <f t="shared" si="54"/>
        <v>4131</v>
      </c>
      <c r="E235" s="116">
        <f t="shared" si="55"/>
        <v>39779</v>
      </c>
      <c r="F235" s="116">
        <f t="shared" si="48"/>
        <v>55460</v>
      </c>
      <c r="G235" s="117">
        <f t="shared" si="49"/>
        <v>0</v>
      </c>
      <c r="H235" s="116">
        <f t="shared" si="45"/>
        <v>55460</v>
      </c>
      <c r="I235" s="116">
        <f t="shared" si="50"/>
        <v>55785</v>
      </c>
      <c r="J235" s="119">
        <f t="shared" si="51"/>
        <v>60598</v>
      </c>
      <c r="K235" s="119">
        <f t="shared" si="52"/>
        <v>65996</v>
      </c>
      <c r="L235" s="110"/>
      <c r="M235" s="110"/>
      <c r="N235" s="110"/>
      <c r="O235" s="110"/>
      <c r="P235" s="110"/>
      <c r="Q235" s="110"/>
      <c r="R235" s="110"/>
    </row>
    <row r="236" spans="1:23" x14ac:dyDescent="0.3">
      <c r="A236" s="109">
        <v>211</v>
      </c>
      <c r="B236" s="58">
        <f t="shared" si="47"/>
        <v>1549484</v>
      </c>
      <c r="C236" s="116">
        <f t="shared" si="53"/>
        <v>51458</v>
      </c>
      <c r="D236" s="117">
        <f t="shared" si="54"/>
        <v>4002</v>
      </c>
      <c r="E236" s="116">
        <f t="shared" si="55"/>
        <v>39779</v>
      </c>
      <c r="F236" s="116">
        <f t="shared" si="48"/>
        <v>55460</v>
      </c>
      <c r="G236" s="117">
        <f t="shared" si="49"/>
        <v>0</v>
      </c>
      <c r="H236" s="116">
        <f t="shared" si="45"/>
        <v>55460</v>
      </c>
      <c r="I236" s="116">
        <f t="shared" si="50"/>
        <v>55785</v>
      </c>
      <c r="J236" s="119">
        <f t="shared" si="51"/>
        <v>60598</v>
      </c>
      <c r="K236" s="119">
        <f t="shared" si="52"/>
        <v>65996</v>
      </c>
      <c r="L236" s="110"/>
      <c r="M236" s="110"/>
      <c r="N236" s="110"/>
      <c r="O236" s="110"/>
      <c r="P236" s="110"/>
      <c r="Q236" s="110"/>
      <c r="R236" s="110"/>
    </row>
    <row r="237" spans="1:23" x14ac:dyDescent="0.3">
      <c r="A237" s="109">
        <v>212</v>
      </c>
      <c r="B237" s="58">
        <f t="shared" si="47"/>
        <v>1497898</v>
      </c>
      <c r="C237" s="116">
        <f t="shared" si="53"/>
        <v>51586</v>
      </c>
      <c r="D237" s="117">
        <f t="shared" si="54"/>
        <v>3874</v>
      </c>
      <c r="E237" s="116">
        <f t="shared" si="55"/>
        <v>39779</v>
      </c>
      <c r="F237" s="116">
        <f t="shared" si="48"/>
        <v>55460</v>
      </c>
      <c r="G237" s="117">
        <f t="shared" si="49"/>
        <v>0</v>
      </c>
      <c r="H237" s="116">
        <f t="shared" si="45"/>
        <v>55460</v>
      </c>
      <c r="I237" s="116">
        <f t="shared" si="50"/>
        <v>55785</v>
      </c>
      <c r="J237" s="119">
        <f t="shared" si="51"/>
        <v>60598</v>
      </c>
      <c r="K237" s="119">
        <f t="shared" si="52"/>
        <v>65996</v>
      </c>
      <c r="L237" s="110"/>
      <c r="M237" s="110"/>
      <c r="N237" s="110"/>
      <c r="O237" s="110"/>
      <c r="P237" s="110"/>
      <c r="Q237" s="110"/>
      <c r="R237" s="110"/>
    </row>
    <row r="238" spans="1:23" x14ac:dyDescent="0.3">
      <c r="A238" s="109">
        <v>213</v>
      </c>
      <c r="B238" s="58">
        <f t="shared" si="47"/>
        <v>1446183</v>
      </c>
      <c r="C238" s="116">
        <f t="shared" si="53"/>
        <v>51715</v>
      </c>
      <c r="D238" s="117">
        <f t="shared" si="54"/>
        <v>3745</v>
      </c>
      <c r="E238" s="116">
        <f t="shared" si="55"/>
        <v>39779</v>
      </c>
      <c r="F238" s="116">
        <f t="shared" si="48"/>
        <v>55460</v>
      </c>
      <c r="G238" s="117">
        <f t="shared" si="49"/>
        <v>0</v>
      </c>
      <c r="H238" s="116">
        <f t="shared" si="45"/>
        <v>55460</v>
      </c>
      <c r="I238" s="116">
        <f t="shared" si="50"/>
        <v>55785</v>
      </c>
      <c r="J238" s="119">
        <f t="shared" si="51"/>
        <v>60598</v>
      </c>
      <c r="K238" s="119">
        <f t="shared" si="52"/>
        <v>65996</v>
      </c>
      <c r="L238" s="110"/>
      <c r="M238" s="110"/>
      <c r="N238" s="110"/>
      <c r="O238" s="110"/>
      <c r="P238" s="110"/>
      <c r="Q238" s="110"/>
      <c r="R238" s="110"/>
    </row>
    <row r="239" spans="1:23" x14ac:dyDescent="0.3">
      <c r="A239" s="109">
        <v>214</v>
      </c>
      <c r="B239" s="58">
        <f t="shared" si="47"/>
        <v>1394338</v>
      </c>
      <c r="C239" s="116">
        <f t="shared" si="53"/>
        <v>51845</v>
      </c>
      <c r="D239" s="117">
        <f t="shared" si="54"/>
        <v>3615</v>
      </c>
      <c r="E239" s="116">
        <f t="shared" si="55"/>
        <v>39779</v>
      </c>
      <c r="F239" s="116">
        <f t="shared" si="48"/>
        <v>55460</v>
      </c>
      <c r="G239" s="117">
        <f t="shared" si="49"/>
        <v>0</v>
      </c>
      <c r="H239" s="116">
        <f t="shared" si="45"/>
        <v>55460</v>
      </c>
      <c r="I239" s="116">
        <f t="shared" si="50"/>
        <v>55785</v>
      </c>
      <c r="J239" s="119">
        <f t="shared" si="51"/>
        <v>60598</v>
      </c>
      <c r="K239" s="119">
        <f t="shared" si="52"/>
        <v>65996</v>
      </c>
      <c r="L239" s="110"/>
      <c r="M239" s="110"/>
      <c r="N239" s="110"/>
      <c r="O239" s="110"/>
      <c r="P239" s="110"/>
      <c r="Q239" s="110"/>
      <c r="R239" s="110"/>
    </row>
    <row r="240" spans="1:23" x14ac:dyDescent="0.3">
      <c r="A240" s="109">
        <v>215</v>
      </c>
      <c r="B240" s="58">
        <f t="shared" si="47"/>
        <v>1342364</v>
      </c>
      <c r="C240" s="116">
        <f t="shared" si="53"/>
        <v>51974</v>
      </c>
      <c r="D240" s="117">
        <f t="shared" si="54"/>
        <v>3486</v>
      </c>
      <c r="E240" s="116">
        <f t="shared" si="55"/>
        <v>39779</v>
      </c>
      <c r="F240" s="116">
        <f t="shared" si="48"/>
        <v>55460</v>
      </c>
      <c r="G240" s="117">
        <f t="shared" si="49"/>
        <v>0</v>
      </c>
      <c r="H240" s="116">
        <f t="shared" si="45"/>
        <v>55460</v>
      </c>
      <c r="I240" s="116">
        <f t="shared" si="50"/>
        <v>55785</v>
      </c>
      <c r="J240" s="119">
        <f t="shared" si="51"/>
        <v>60598</v>
      </c>
      <c r="K240" s="119">
        <f t="shared" si="52"/>
        <v>65996</v>
      </c>
      <c r="L240" s="110"/>
      <c r="M240" s="110"/>
      <c r="N240" s="110"/>
      <c r="O240" s="110"/>
      <c r="P240" s="110"/>
      <c r="Q240" s="110"/>
      <c r="R240" s="110"/>
    </row>
    <row r="241" spans="1:23" x14ac:dyDescent="0.3">
      <c r="A241" s="109">
        <v>216</v>
      </c>
      <c r="B241" s="58">
        <f t="shared" si="47"/>
        <v>1290260</v>
      </c>
      <c r="C241" s="116">
        <f t="shared" si="53"/>
        <v>52104</v>
      </c>
      <c r="D241" s="117">
        <f t="shared" si="54"/>
        <v>3356</v>
      </c>
      <c r="E241" s="116">
        <f t="shared" si="55"/>
        <v>39779</v>
      </c>
      <c r="F241" s="116">
        <f t="shared" si="48"/>
        <v>55460</v>
      </c>
      <c r="G241" s="117">
        <f t="shared" si="49"/>
        <v>0</v>
      </c>
      <c r="H241" s="116">
        <f t="shared" si="45"/>
        <v>55460</v>
      </c>
      <c r="I241" s="116">
        <f t="shared" si="50"/>
        <v>55785</v>
      </c>
      <c r="J241" s="119">
        <f t="shared" si="51"/>
        <v>60598</v>
      </c>
      <c r="K241" s="119">
        <f t="shared" si="52"/>
        <v>65996</v>
      </c>
      <c r="L241" s="58">
        <f t="shared" ref="L241:Q241" si="57">SUM(C230:C241)</f>
        <v>616743</v>
      </c>
      <c r="M241" s="58">
        <f t="shared" si="57"/>
        <v>48777</v>
      </c>
      <c r="N241" s="58">
        <f t="shared" si="57"/>
        <v>477348</v>
      </c>
      <c r="O241" s="58">
        <f t="shared" si="57"/>
        <v>665520</v>
      </c>
      <c r="P241" s="58">
        <f t="shared" si="57"/>
        <v>0</v>
      </c>
      <c r="Q241" s="58">
        <f t="shared" si="57"/>
        <v>665520</v>
      </c>
      <c r="R241" s="58">
        <f>SUM(J230:J241)</f>
        <v>727176</v>
      </c>
      <c r="S241" s="29">
        <f>SUM(K230:K241)</f>
        <v>791952</v>
      </c>
      <c r="T241" s="29"/>
      <c r="U241" s="29"/>
      <c r="V241" s="29"/>
      <c r="W241" s="29"/>
    </row>
    <row r="242" spans="1:23" x14ac:dyDescent="0.3">
      <c r="A242" s="109">
        <v>217</v>
      </c>
      <c r="B242" s="58">
        <f t="shared" si="47"/>
        <v>1238026</v>
      </c>
      <c r="C242" s="116">
        <f t="shared" si="53"/>
        <v>52234</v>
      </c>
      <c r="D242" s="117">
        <f t="shared" si="54"/>
        <v>3226</v>
      </c>
      <c r="E242" s="116">
        <f t="shared" si="55"/>
        <v>39779</v>
      </c>
      <c r="F242" s="116">
        <f t="shared" si="48"/>
        <v>55460</v>
      </c>
      <c r="G242" s="117">
        <f t="shared" si="49"/>
        <v>0</v>
      </c>
      <c r="H242" s="116">
        <f t="shared" si="45"/>
        <v>55460</v>
      </c>
      <c r="I242" s="116">
        <f t="shared" si="50"/>
        <v>55785</v>
      </c>
      <c r="J242" s="119">
        <f t="shared" si="51"/>
        <v>60598</v>
      </c>
      <c r="K242" s="119">
        <f t="shared" si="52"/>
        <v>65996</v>
      </c>
      <c r="L242" s="110"/>
      <c r="M242" s="110"/>
      <c r="N242" s="110"/>
      <c r="O242" s="110"/>
      <c r="P242" s="110"/>
      <c r="Q242" s="110"/>
      <c r="R242" s="110"/>
    </row>
    <row r="243" spans="1:23" x14ac:dyDescent="0.3">
      <c r="A243" s="109">
        <v>218</v>
      </c>
      <c r="B243" s="58">
        <f t="shared" si="47"/>
        <v>1185661</v>
      </c>
      <c r="C243" s="116">
        <f t="shared" si="53"/>
        <v>52365</v>
      </c>
      <c r="D243" s="117">
        <f t="shared" si="54"/>
        <v>3095</v>
      </c>
      <c r="E243" s="116">
        <f t="shared" si="55"/>
        <v>39779</v>
      </c>
      <c r="F243" s="116">
        <f t="shared" si="48"/>
        <v>55460</v>
      </c>
      <c r="G243" s="117">
        <f t="shared" si="49"/>
        <v>0</v>
      </c>
      <c r="H243" s="116">
        <f t="shared" si="45"/>
        <v>55460</v>
      </c>
      <c r="I243" s="116">
        <f t="shared" si="50"/>
        <v>55785</v>
      </c>
      <c r="J243" s="119">
        <f t="shared" si="51"/>
        <v>60598</v>
      </c>
      <c r="K243" s="119">
        <f t="shared" si="52"/>
        <v>65996</v>
      </c>
      <c r="L243" s="110"/>
      <c r="M243" s="110"/>
      <c r="N243" s="110"/>
      <c r="O243" s="110"/>
      <c r="P243" s="110"/>
      <c r="Q243" s="110"/>
      <c r="R243" s="110"/>
    </row>
    <row r="244" spans="1:23" x14ac:dyDescent="0.3">
      <c r="A244" s="109">
        <v>219</v>
      </c>
      <c r="B244" s="58">
        <f t="shared" si="47"/>
        <v>1133165</v>
      </c>
      <c r="C244" s="116">
        <f t="shared" si="53"/>
        <v>52496</v>
      </c>
      <c r="D244" s="117">
        <f t="shared" si="54"/>
        <v>2964</v>
      </c>
      <c r="E244" s="116">
        <f t="shared" si="55"/>
        <v>39779</v>
      </c>
      <c r="F244" s="116">
        <f t="shared" si="48"/>
        <v>55460</v>
      </c>
      <c r="G244" s="117">
        <f t="shared" si="49"/>
        <v>0</v>
      </c>
      <c r="H244" s="116">
        <f t="shared" si="45"/>
        <v>55460</v>
      </c>
      <c r="I244" s="116">
        <f t="shared" si="50"/>
        <v>55785</v>
      </c>
      <c r="J244" s="119">
        <f t="shared" si="51"/>
        <v>60598</v>
      </c>
      <c r="K244" s="119">
        <f t="shared" si="52"/>
        <v>65996</v>
      </c>
      <c r="L244" s="110"/>
      <c r="M244" s="110"/>
      <c r="N244" s="110"/>
      <c r="O244" s="110"/>
      <c r="P244" s="110"/>
      <c r="Q244" s="110"/>
      <c r="R244" s="110"/>
    </row>
    <row r="245" spans="1:23" x14ac:dyDescent="0.3">
      <c r="A245" s="109">
        <v>220</v>
      </c>
      <c r="B245" s="58">
        <f t="shared" si="47"/>
        <v>1080538</v>
      </c>
      <c r="C245" s="116">
        <f t="shared" si="53"/>
        <v>52627</v>
      </c>
      <c r="D245" s="117">
        <f t="shared" si="54"/>
        <v>2833</v>
      </c>
      <c r="E245" s="116">
        <f t="shared" si="55"/>
        <v>39779</v>
      </c>
      <c r="F245" s="116">
        <f t="shared" si="48"/>
        <v>55460</v>
      </c>
      <c r="G245" s="117">
        <f t="shared" si="49"/>
        <v>0</v>
      </c>
      <c r="H245" s="116">
        <f t="shared" si="45"/>
        <v>55460</v>
      </c>
      <c r="I245" s="116">
        <f t="shared" si="50"/>
        <v>55785</v>
      </c>
      <c r="J245" s="119">
        <f t="shared" si="51"/>
        <v>60598</v>
      </c>
      <c r="K245" s="119">
        <f t="shared" si="52"/>
        <v>65996</v>
      </c>
      <c r="L245" s="110"/>
      <c r="M245" s="110"/>
      <c r="N245" s="110"/>
      <c r="O245" s="110"/>
      <c r="P245" s="110"/>
      <c r="Q245" s="110"/>
      <c r="R245" s="110"/>
    </row>
    <row r="246" spans="1:23" x14ac:dyDescent="0.3">
      <c r="A246" s="109">
        <v>221</v>
      </c>
      <c r="B246" s="58">
        <f t="shared" si="47"/>
        <v>1027779</v>
      </c>
      <c r="C246" s="116">
        <f t="shared" si="53"/>
        <v>52759</v>
      </c>
      <c r="D246" s="117">
        <f t="shared" si="54"/>
        <v>2701</v>
      </c>
      <c r="E246" s="116">
        <f t="shared" si="55"/>
        <v>39779</v>
      </c>
      <c r="F246" s="116">
        <f t="shared" si="48"/>
        <v>55460</v>
      </c>
      <c r="G246" s="117">
        <f t="shared" si="49"/>
        <v>0</v>
      </c>
      <c r="H246" s="116">
        <f t="shared" si="45"/>
        <v>55460</v>
      </c>
      <c r="I246" s="116">
        <f t="shared" si="50"/>
        <v>55785</v>
      </c>
      <c r="J246" s="119">
        <f t="shared" si="51"/>
        <v>60598</v>
      </c>
      <c r="K246" s="119">
        <f t="shared" si="52"/>
        <v>65996</v>
      </c>
      <c r="L246" s="110"/>
      <c r="M246" s="110"/>
      <c r="N246" s="110"/>
      <c r="O246" s="110"/>
      <c r="P246" s="110"/>
      <c r="Q246" s="110"/>
      <c r="R246" s="110"/>
    </row>
    <row r="247" spans="1:23" x14ac:dyDescent="0.3">
      <c r="A247" s="109">
        <v>222</v>
      </c>
      <c r="B247" s="58">
        <f t="shared" si="47"/>
        <v>974888</v>
      </c>
      <c r="C247" s="116">
        <f t="shared" si="53"/>
        <v>52891</v>
      </c>
      <c r="D247" s="117">
        <f t="shared" si="54"/>
        <v>2569</v>
      </c>
      <c r="E247" s="116">
        <f t="shared" si="55"/>
        <v>39779</v>
      </c>
      <c r="F247" s="116">
        <f t="shared" si="48"/>
        <v>55460</v>
      </c>
      <c r="G247" s="117">
        <f t="shared" si="49"/>
        <v>0</v>
      </c>
      <c r="H247" s="116">
        <f t="shared" si="45"/>
        <v>55460</v>
      </c>
      <c r="I247" s="116">
        <f t="shared" si="50"/>
        <v>55785</v>
      </c>
      <c r="J247" s="119">
        <f t="shared" si="51"/>
        <v>60598</v>
      </c>
      <c r="K247" s="119">
        <f t="shared" si="52"/>
        <v>65996</v>
      </c>
      <c r="L247" s="110"/>
      <c r="M247" s="110"/>
      <c r="N247" s="110"/>
      <c r="O247" s="110"/>
      <c r="P247" s="110"/>
      <c r="Q247" s="110"/>
      <c r="R247" s="110"/>
    </row>
    <row r="248" spans="1:23" x14ac:dyDescent="0.3">
      <c r="A248" s="109">
        <v>223</v>
      </c>
      <c r="B248" s="58">
        <f t="shared" si="47"/>
        <v>921865</v>
      </c>
      <c r="C248" s="116">
        <f t="shared" si="53"/>
        <v>53023</v>
      </c>
      <c r="D248" s="117">
        <f t="shared" si="54"/>
        <v>2437</v>
      </c>
      <c r="E248" s="116">
        <f t="shared" si="55"/>
        <v>39779</v>
      </c>
      <c r="F248" s="116">
        <f t="shared" si="48"/>
        <v>55460</v>
      </c>
      <c r="G248" s="117">
        <f t="shared" si="49"/>
        <v>0</v>
      </c>
      <c r="H248" s="116">
        <f t="shared" si="45"/>
        <v>55460</v>
      </c>
      <c r="I248" s="116">
        <f t="shared" si="50"/>
        <v>55785</v>
      </c>
      <c r="J248" s="119">
        <f t="shared" si="51"/>
        <v>60598</v>
      </c>
      <c r="K248" s="119">
        <f t="shared" si="52"/>
        <v>65996</v>
      </c>
      <c r="L248" s="110"/>
      <c r="M248" s="110"/>
      <c r="N248" s="110"/>
      <c r="O248" s="110"/>
      <c r="P248" s="110"/>
      <c r="Q248" s="110"/>
      <c r="R248" s="110"/>
    </row>
    <row r="249" spans="1:23" x14ac:dyDescent="0.3">
      <c r="A249" s="109">
        <v>224</v>
      </c>
      <c r="B249" s="58">
        <f t="shared" si="47"/>
        <v>868710</v>
      </c>
      <c r="C249" s="116">
        <f t="shared" si="53"/>
        <v>53155</v>
      </c>
      <c r="D249" s="117">
        <f t="shared" si="54"/>
        <v>2305</v>
      </c>
      <c r="E249" s="116">
        <f t="shared" si="55"/>
        <v>39779</v>
      </c>
      <c r="F249" s="116">
        <f t="shared" si="48"/>
        <v>55460</v>
      </c>
      <c r="G249" s="117">
        <f t="shared" si="49"/>
        <v>0</v>
      </c>
      <c r="H249" s="116">
        <f t="shared" si="45"/>
        <v>55460</v>
      </c>
      <c r="I249" s="116">
        <f t="shared" si="50"/>
        <v>55785</v>
      </c>
      <c r="J249" s="119">
        <f t="shared" si="51"/>
        <v>60598</v>
      </c>
      <c r="K249" s="119">
        <f t="shared" si="52"/>
        <v>65996</v>
      </c>
      <c r="L249" s="110"/>
      <c r="M249" s="110"/>
      <c r="N249" s="110"/>
      <c r="O249" s="110"/>
      <c r="P249" s="110"/>
      <c r="Q249" s="110"/>
      <c r="R249" s="110"/>
    </row>
    <row r="250" spans="1:23" x14ac:dyDescent="0.3">
      <c r="A250" s="109">
        <v>225</v>
      </c>
      <c r="B250" s="58">
        <f t="shared" si="47"/>
        <v>815422</v>
      </c>
      <c r="C250" s="116">
        <f t="shared" si="53"/>
        <v>53288</v>
      </c>
      <c r="D250" s="117">
        <f t="shared" si="54"/>
        <v>2172</v>
      </c>
      <c r="E250" s="116">
        <f t="shared" si="55"/>
        <v>39779</v>
      </c>
      <c r="F250" s="116">
        <f t="shared" si="48"/>
        <v>55460</v>
      </c>
      <c r="G250" s="117">
        <f t="shared" si="49"/>
        <v>0</v>
      </c>
      <c r="H250" s="116">
        <f t="shared" si="45"/>
        <v>55460</v>
      </c>
      <c r="I250" s="116">
        <f t="shared" si="50"/>
        <v>55785</v>
      </c>
      <c r="J250" s="119">
        <f t="shared" si="51"/>
        <v>60598</v>
      </c>
      <c r="K250" s="119">
        <f t="shared" si="52"/>
        <v>65996</v>
      </c>
      <c r="L250" s="110"/>
      <c r="M250" s="110"/>
      <c r="N250" s="110"/>
      <c r="O250" s="110"/>
      <c r="P250" s="110"/>
      <c r="Q250" s="110"/>
      <c r="R250" s="110"/>
    </row>
    <row r="251" spans="1:23" x14ac:dyDescent="0.3">
      <c r="A251" s="109">
        <v>226</v>
      </c>
      <c r="B251" s="58">
        <f t="shared" si="47"/>
        <v>762001</v>
      </c>
      <c r="C251" s="116">
        <f t="shared" si="53"/>
        <v>53421</v>
      </c>
      <c r="D251" s="117">
        <f t="shared" si="54"/>
        <v>2039</v>
      </c>
      <c r="E251" s="116">
        <f t="shared" si="55"/>
        <v>39779</v>
      </c>
      <c r="F251" s="116">
        <f t="shared" si="48"/>
        <v>55460</v>
      </c>
      <c r="G251" s="117">
        <f t="shared" si="49"/>
        <v>0</v>
      </c>
      <c r="H251" s="116">
        <f t="shared" si="45"/>
        <v>55460</v>
      </c>
      <c r="I251" s="116">
        <f t="shared" si="50"/>
        <v>55785</v>
      </c>
      <c r="J251" s="119">
        <f t="shared" si="51"/>
        <v>60598</v>
      </c>
      <c r="K251" s="119">
        <f t="shared" si="52"/>
        <v>65996</v>
      </c>
      <c r="L251" s="110"/>
      <c r="M251" s="110"/>
      <c r="N251" s="110"/>
      <c r="O251" s="110"/>
      <c r="P251" s="110"/>
      <c r="Q251" s="110"/>
      <c r="R251" s="110"/>
    </row>
    <row r="252" spans="1:23" x14ac:dyDescent="0.3">
      <c r="A252" s="109">
        <v>227</v>
      </c>
      <c r="B252" s="58">
        <f t="shared" si="47"/>
        <v>708446</v>
      </c>
      <c r="C252" s="116">
        <f t="shared" si="53"/>
        <v>53555</v>
      </c>
      <c r="D252" s="117">
        <f t="shared" si="54"/>
        <v>1905</v>
      </c>
      <c r="E252" s="116">
        <f t="shared" si="55"/>
        <v>39779</v>
      </c>
      <c r="F252" s="116">
        <f t="shared" si="48"/>
        <v>55460</v>
      </c>
      <c r="G252" s="117">
        <f t="shared" si="49"/>
        <v>0</v>
      </c>
      <c r="H252" s="116">
        <f t="shared" si="45"/>
        <v>55460</v>
      </c>
      <c r="I252" s="116">
        <f t="shared" si="50"/>
        <v>55785</v>
      </c>
      <c r="J252" s="119">
        <f t="shared" si="51"/>
        <v>60598</v>
      </c>
      <c r="K252" s="119">
        <f t="shared" si="52"/>
        <v>65996</v>
      </c>
      <c r="L252" s="110"/>
      <c r="M252" s="110"/>
      <c r="N252" s="110"/>
      <c r="O252" s="110"/>
      <c r="P252" s="110"/>
      <c r="Q252" s="110"/>
      <c r="R252" s="110"/>
    </row>
    <row r="253" spans="1:23" x14ac:dyDescent="0.3">
      <c r="A253" s="109">
        <v>228</v>
      </c>
      <c r="B253" s="58">
        <f t="shared" si="47"/>
        <v>654757</v>
      </c>
      <c r="C253" s="116">
        <f t="shared" si="53"/>
        <v>53689</v>
      </c>
      <c r="D253" s="117">
        <f t="shared" si="54"/>
        <v>1771</v>
      </c>
      <c r="E253" s="116">
        <f t="shared" si="55"/>
        <v>39779</v>
      </c>
      <c r="F253" s="116">
        <f t="shared" si="48"/>
        <v>55460</v>
      </c>
      <c r="G253" s="117">
        <f t="shared" si="49"/>
        <v>0</v>
      </c>
      <c r="H253" s="116">
        <f t="shared" si="45"/>
        <v>55460</v>
      </c>
      <c r="I253" s="116">
        <f t="shared" si="50"/>
        <v>55785</v>
      </c>
      <c r="J253" s="119">
        <f t="shared" si="51"/>
        <v>60598</v>
      </c>
      <c r="K253" s="119">
        <f t="shared" si="52"/>
        <v>65996</v>
      </c>
      <c r="L253" s="58">
        <f t="shared" ref="L253:Q253" si="58">SUM(C242:C253)</f>
        <v>635503</v>
      </c>
      <c r="M253" s="58">
        <f t="shared" si="58"/>
        <v>30017</v>
      </c>
      <c r="N253" s="58">
        <f t="shared" si="58"/>
        <v>477348</v>
      </c>
      <c r="O253" s="58">
        <f t="shared" si="58"/>
        <v>665520</v>
      </c>
      <c r="P253" s="58">
        <f t="shared" si="58"/>
        <v>0</v>
      </c>
      <c r="Q253" s="58">
        <f t="shared" si="58"/>
        <v>665520</v>
      </c>
      <c r="R253" s="58">
        <f>SUM(J242:J253)</f>
        <v>727176</v>
      </c>
      <c r="S253" s="29">
        <f>SUM(K242:K253)</f>
        <v>791952</v>
      </c>
      <c r="T253" s="29"/>
      <c r="U253" s="29"/>
      <c r="V253" s="29"/>
      <c r="W253" s="29"/>
    </row>
    <row r="254" spans="1:23" x14ac:dyDescent="0.3">
      <c r="A254" s="109">
        <v>229</v>
      </c>
      <c r="B254" s="58">
        <f t="shared" si="47"/>
        <v>600934</v>
      </c>
      <c r="C254" s="116">
        <f t="shared" si="53"/>
        <v>53823</v>
      </c>
      <c r="D254" s="117">
        <f t="shared" si="54"/>
        <v>1637</v>
      </c>
      <c r="E254" s="116">
        <f t="shared" si="55"/>
        <v>39779</v>
      </c>
      <c r="F254" s="116">
        <f t="shared" si="48"/>
        <v>55460</v>
      </c>
      <c r="G254" s="117">
        <f t="shared" si="49"/>
        <v>0</v>
      </c>
      <c r="H254" s="116">
        <f t="shared" si="45"/>
        <v>55460</v>
      </c>
      <c r="I254" s="116">
        <f t="shared" si="50"/>
        <v>55785</v>
      </c>
      <c r="J254" s="119">
        <f t="shared" si="51"/>
        <v>60598</v>
      </c>
      <c r="K254" s="119">
        <f t="shared" si="52"/>
        <v>65996</v>
      </c>
      <c r="L254" s="110"/>
      <c r="M254" s="110"/>
      <c r="N254" s="110"/>
      <c r="O254" s="110"/>
      <c r="P254" s="110"/>
      <c r="Q254" s="110"/>
      <c r="R254" s="110"/>
    </row>
    <row r="255" spans="1:23" x14ac:dyDescent="0.3">
      <c r="A255" s="109">
        <v>230</v>
      </c>
      <c r="B255" s="58">
        <f t="shared" si="47"/>
        <v>546976</v>
      </c>
      <c r="C255" s="116">
        <f t="shared" si="53"/>
        <v>53958</v>
      </c>
      <c r="D255" s="117">
        <f t="shared" si="54"/>
        <v>1502</v>
      </c>
      <c r="E255" s="116">
        <f t="shared" si="55"/>
        <v>39779</v>
      </c>
      <c r="F255" s="116">
        <f t="shared" si="48"/>
        <v>55460</v>
      </c>
      <c r="G255" s="117">
        <f t="shared" si="49"/>
        <v>0</v>
      </c>
      <c r="H255" s="116">
        <f t="shared" si="45"/>
        <v>55460</v>
      </c>
      <c r="I255" s="116">
        <f t="shared" si="50"/>
        <v>55785</v>
      </c>
      <c r="J255" s="119">
        <f t="shared" si="51"/>
        <v>60598</v>
      </c>
      <c r="K255" s="119">
        <f t="shared" si="52"/>
        <v>65996</v>
      </c>
      <c r="L255" s="110"/>
      <c r="M255" s="110"/>
      <c r="N255" s="110"/>
      <c r="O255" s="110"/>
      <c r="P255" s="110"/>
      <c r="Q255" s="110"/>
      <c r="R255" s="110"/>
    </row>
    <row r="256" spans="1:23" x14ac:dyDescent="0.3">
      <c r="A256" s="109">
        <v>231</v>
      </c>
      <c r="B256" s="58">
        <f t="shared" si="47"/>
        <v>492883</v>
      </c>
      <c r="C256" s="116">
        <f t="shared" si="53"/>
        <v>54093</v>
      </c>
      <c r="D256" s="117">
        <f t="shared" si="54"/>
        <v>1367</v>
      </c>
      <c r="E256" s="116">
        <f t="shared" si="55"/>
        <v>39779</v>
      </c>
      <c r="F256" s="116">
        <f t="shared" si="48"/>
        <v>55460</v>
      </c>
      <c r="G256" s="117">
        <f t="shared" si="49"/>
        <v>0</v>
      </c>
      <c r="H256" s="116">
        <f t="shared" si="45"/>
        <v>55460</v>
      </c>
      <c r="I256" s="116">
        <f t="shared" si="50"/>
        <v>55785</v>
      </c>
      <c r="J256" s="119">
        <f t="shared" si="51"/>
        <v>60598</v>
      </c>
      <c r="K256" s="119">
        <f t="shared" si="52"/>
        <v>65996</v>
      </c>
      <c r="L256" s="110"/>
      <c r="M256" s="110"/>
      <c r="N256" s="110"/>
      <c r="O256" s="110"/>
      <c r="P256" s="110"/>
      <c r="Q256" s="110"/>
      <c r="R256" s="110"/>
    </row>
    <row r="257" spans="1:23" x14ac:dyDescent="0.3">
      <c r="A257" s="109">
        <v>232</v>
      </c>
      <c r="B257" s="58">
        <f t="shared" si="47"/>
        <v>438655</v>
      </c>
      <c r="C257" s="116">
        <f t="shared" si="53"/>
        <v>54228</v>
      </c>
      <c r="D257" s="117">
        <f t="shared" si="54"/>
        <v>1232</v>
      </c>
      <c r="E257" s="116">
        <f t="shared" si="55"/>
        <v>39779</v>
      </c>
      <c r="F257" s="116">
        <f t="shared" si="48"/>
        <v>55460</v>
      </c>
      <c r="G257" s="117">
        <f t="shared" si="49"/>
        <v>0</v>
      </c>
      <c r="H257" s="116">
        <f t="shared" si="45"/>
        <v>55460</v>
      </c>
      <c r="I257" s="116">
        <f t="shared" si="50"/>
        <v>55785</v>
      </c>
      <c r="J257" s="119">
        <f t="shared" si="51"/>
        <v>60598</v>
      </c>
      <c r="K257" s="119">
        <f t="shared" si="52"/>
        <v>65996</v>
      </c>
      <c r="L257" s="110"/>
      <c r="M257" s="110"/>
      <c r="N257" s="110"/>
      <c r="O257" s="110"/>
      <c r="P257" s="110"/>
      <c r="Q257" s="110"/>
      <c r="R257" s="110"/>
    </row>
    <row r="258" spans="1:23" x14ac:dyDescent="0.3">
      <c r="A258" s="109">
        <v>233</v>
      </c>
      <c r="B258" s="58">
        <f t="shared" si="47"/>
        <v>384292</v>
      </c>
      <c r="C258" s="116">
        <f t="shared" si="53"/>
        <v>54363</v>
      </c>
      <c r="D258" s="117">
        <f t="shared" si="54"/>
        <v>1097</v>
      </c>
      <c r="E258" s="116">
        <f t="shared" si="55"/>
        <v>39779</v>
      </c>
      <c r="F258" s="116">
        <f t="shared" si="48"/>
        <v>55460</v>
      </c>
      <c r="G258" s="117">
        <f t="shared" si="49"/>
        <v>0</v>
      </c>
      <c r="H258" s="116">
        <f t="shared" si="45"/>
        <v>55460</v>
      </c>
      <c r="I258" s="116">
        <f t="shared" si="50"/>
        <v>55785</v>
      </c>
      <c r="J258" s="119">
        <f t="shared" si="51"/>
        <v>60598</v>
      </c>
      <c r="K258" s="119">
        <f t="shared" si="52"/>
        <v>65996</v>
      </c>
      <c r="L258" s="110"/>
      <c r="M258" s="110"/>
      <c r="N258" s="110"/>
      <c r="O258" s="110"/>
      <c r="P258" s="110"/>
      <c r="Q258" s="110"/>
      <c r="R258" s="110"/>
    </row>
    <row r="259" spans="1:23" x14ac:dyDescent="0.3">
      <c r="A259" s="109">
        <v>234</v>
      </c>
      <c r="B259" s="58">
        <f t="shared" si="47"/>
        <v>329793</v>
      </c>
      <c r="C259" s="116">
        <f t="shared" si="53"/>
        <v>54499</v>
      </c>
      <c r="D259" s="117">
        <f t="shared" si="54"/>
        <v>961</v>
      </c>
      <c r="E259" s="116">
        <f t="shared" si="55"/>
        <v>39779</v>
      </c>
      <c r="F259" s="116">
        <f t="shared" si="48"/>
        <v>55460</v>
      </c>
      <c r="G259" s="117">
        <f t="shared" si="49"/>
        <v>0</v>
      </c>
      <c r="H259" s="116">
        <f t="shared" si="45"/>
        <v>55460</v>
      </c>
      <c r="I259" s="116">
        <f t="shared" si="50"/>
        <v>55785</v>
      </c>
      <c r="J259" s="119">
        <f t="shared" si="51"/>
        <v>60598</v>
      </c>
      <c r="K259" s="119">
        <f t="shared" si="52"/>
        <v>65996</v>
      </c>
      <c r="L259" s="110"/>
      <c r="M259" s="110"/>
      <c r="N259" s="110"/>
      <c r="O259" s="110"/>
      <c r="P259" s="110"/>
      <c r="Q259" s="110"/>
      <c r="R259" s="110"/>
    </row>
    <row r="260" spans="1:23" x14ac:dyDescent="0.3">
      <c r="A260" s="109">
        <v>235</v>
      </c>
      <c r="B260" s="58">
        <f t="shared" si="47"/>
        <v>275157</v>
      </c>
      <c r="C260" s="116">
        <f t="shared" si="53"/>
        <v>54636</v>
      </c>
      <c r="D260" s="117">
        <f t="shared" si="54"/>
        <v>824</v>
      </c>
      <c r="E260" s="116">
        <f t="shared" si="55"/>
        <v>39779</v>
      </c>
      <c r="F260" s="116">
        <f t="shared" si="48"/>
        <v>55460</v>
      </c>
      <c r="G260" s="117">
        <f t="shared" si="49"/>
        <v>0</v>
      </c>
      <c r="H260" s="116">
        <f t="shared" si="45"/>
        <v>55460</v>
      </c>
      <c r="I260" s="116">
        <f t="shared" si="50"/>
        <v>55785</v>
      </c>
      <c r="J260" s="119">
        <f t="shared" si="51"/>
        <v>60598</v>
      </c>
      <c r="K260" s="119">
        <f t="shared" si="52"/>
        <v>65996</v>
      </c>
      <c r="L260" s="110"/>
      <c r="M260" s="110"/>
      <c r="N260" s="110"/>
      <c r="O260" s="110"/>
      <c r="P260" s="110"/>
      <c r="Q260" s="110"/>
      <c r="R260" s="110"/>
    </row>
    <row r="261" spans="1:23" x14ac:dyDescent="0.3">
      <c r="A261" s="109">
        <v>236</v>
      </c>
      <c r="B261" s="58">
        <f t="shared" si="47"/>
        <v>220385</v>
      </c>
      <c r="C261" s="116">
        <f t="shared" si="53"/>
        <v>54772</v>
      </c>
      <c r="D261" s="117">
        <f t="shared" si="54"/>
        <v>688</v>
      </c>
      <c r="E261" s="116">
        <f t="shared" si="55"/>
        <v>39779</v>
      </c>
      <c r="F261" s="116">
        <f t="shared" si="48"/>
        <v>55460</v>
      </c>
      <c r="G261" s="117">
        <f t="shared" si="49"/>
        <v>0</v>
      </c>
      <c r="H261" s="116">
        <f t="shared" si="45"/>
        <v>55460</v>
      </c>
      <c r="I261" s="116">
        <f t="shared" si="50"/>
        <v>55785</v>
      </c>
      <c r="J261" s="119">
        <f t="shared" si="51"/>
        <v>60598</v>
      </c>
      <c r="K261" s="119">
        <f t="shared" si="52"/>
        <v>65996</v>
      </c>
      <c r="L261" s="110"/>
      <c r="M261" s="110"/>
      <c r="N261" s="110"/>
      <c r="O261" s="110"/>
      <c r="P261" s="110"/>
      <c r="Q261" s="110"/>
      <c r="R261" s="110"/>
    </row>
    <row r="262" spans="1:23" x14ac:dyDescent="0.3">
      <c r="A262" s="109">
        <v>237</v>
      </c>
      <c r="B262" s="58">
        <f t="shared" si="47"/>
        <v>165476</v>
      </c>
      <c r="C262" s="116">
        <f t="shared" si="53"/>
        <v>54909</v>
      </c>
      <c r="D262" s="117">
        <f t="shared" si="54"/>
        <v>551</v>
      </c>
      <c r="E262" s="116">
        <f t="shared" si="55"/>
        <v>39779</v>
      </c>
      <c r="F262" s="116">
        <f t="shared" si="48"/>
        <v>55460</v>
      </c>
      <c r="G262" s="117">
        <f t="shared" si="49"/>
        <v>0</v>
      </c>
      <c r="H262" s="116">
        <f t="shared" si="45"/>
        <v>55460</v>
      </c>
      <c r="I262" s="116">
        <f t="shared" si="50"/>
        <v>55785</v>
      </c>
      <c r="J262" s="119">
        <f t="shared" si="51"/>
        <v>60598</v>
      </c>
      <c r="K262" s="119">
        <f t="shared" si="52"/>
        <v>65996</v>
      </c>
      <c r="L262" s="110"/>
      <c r="M262" s="110"/>
      <c r="N262" s="110"/>
      <c r="O262" s="110"/>
      <c r="P262" s="110"/>
      <c r="Q262" s="110"/>
      <c r="R262" s="110"/>
    </row>
    <row r="263" spans="1:23" x14ac:dyDescent="0.3">
      <c r="A263" s="109">
        <v>238</v>
      </c>
      <c r="B263" s="58">
        <f t="shared" si="47"/>
        <v>110430</v>
      </c>
      <c r="C263" s="116">
        <f t="shared" si="53"/>
        <v>55046</v>
      </c>
      <c r="D263" s="117">
        <f t="shared" si="54"/>
        <v>414</v>
      </c>
      <c r="E263" s="116">
        <f t="shared" si="55"/>
        <v>39779</v>
      </c>
      <c r="F263" s="116">
        <f t="shared" si="48"/>
        <v>55460</v>
      </c>
      <c r="G263" s="117">
        <f t="shared" si="49"/>
        <v>0</v>
      </c>
      <c r="H263" s="116">
        <f t="shared" si="45"/>
        <v>55460</v>
      </c>
      <c r="I263" s="116">
        <f t="shared" si="50"/>
        <v>55785</v>
      </c>
      <c r="J263" s="119">
        <f t="shared" si="51"/>
        <v>60598</v>
      </c>
      <c r="K263" s="119">
        <f t="shared" si="52"/>
        <v>65996</v>
      </c>
      <c r="L263" s="110"/>
      <c r="M263" s="110"/>
      <c r="N263" s="110"/>
      <c r="O263" s="110"/>
      <c r="P263" s="110"/>
      <c r="Q263" s="110"/>
      <c r="R263" s="110"/>
    </row>
    <row r="264" spans="1:23" x14ac:dyDescent="0.3">
      <c r="A264" s="109">
        <v>239</v>
      </c>
      <c r="B264" s="58">
        <f t="shared" si="47"/>
        <v>55246</v>
      </c>
      <c r="C264" s="116">
        <f t="shared" si="53"/>
        <v>55184</v>
      </c>
      <c r="D264" s="117">
        <f t="shared" si="54"/>
        <v>276</v>
      </c>
      <c r="E264" s="116">
        <f t="shared" si="55"/>
        <v>39779</v>
      </c>
      <c r="F264" s="116">
        <f t="shared" si="48"/>
        <v>55460</v>
      </c>
      <c r="G264" s="117">
        <f t="shared" si="49"/>
        <v>0</v>
      </c>
      <c r="H264" s="116">
        <f t="shared" si="45"/>
        <v>55460</v>
      </c>
      <c r="I264" s="116">
        <f t="shared" si="50"/>
        <v>55785</v>
      </c>
      <c r="J264" s="119">
        <f t="shared" si="51"/>
        <v>60598</v>
      </c>
      <c r="K264" s="119">
        <f t="shared" si="52"/>
        <v>65996</v>
      </c>
      <c r="L264" s="110"/>
      <c r="M264" s="110"/>
      <c r="N264" s="110"/>
      <c r="O264" s="110"/>
      <c r="P264" s="110"/>
      <c r="Q264" s="110"/>
      <c r="R264" s="110"/>
    </row>
    <row r="265" spans="1:23" x14ac:dyDescent="0.3">
      <c r="A265" s="109">
        <v>240</v>
      </c>
      <c r="B265" s="58">
        <f>B264-C265</f>
        <v>0</v>
      </c>
      <c r="C265" s="116">
        <f t="shared" si="53"/>
        <v>55246</v>
      </c>
      <c r="D265" s="117">
        <f t="shared" si="54"/>
        <v>138</v>
      </c>
      <c r="E265" s="116">
        <f t="shared" si="55"/>
        <v>39779</v>
      </c>
      <c r="F265" s="116">
        <f t="shared" si="48"/>
        <v>55384</v>
      </c>
      <c r="G265" s="117">
        <f t="shared" si="49"/>
        <v>0</v>
      </c>
      <c r="H265" s="116">
        <f t="shared" si="45"/>
        <v>55384</v>
      </c>
      <c r="I265" s="116">
        <f t="shared" si="50"/>
        <v>55709</v>
      </c>
      <c r="J265" s="119">
        <f t="shared" si="51"/>
        <v>55384</v>
      </c>
      <c r="K265" s="119">
        <f t="shared" si="52"/>
        <v>55384</v>
      </c>
      <c r="L265" s="58">
        <f t="shared" ref="L265:Q265" si="59">SUM(C254:C265)</f>
        <v>654757</v>
      </c>
      <c r="M265" s="58">
        <f t="shared" si="59"/>
        <v>10687</v>
      </c>
      <c r="N265" s="58">
        <f t="shared" si="59"/>
        <v>477348</v>
      </c>
      <c r="O265" s="58">
        <f t="shared" si="59"/>
        <v>665444</v>
      </c>
      <c r="P265" s="58">
        <f t="shared" si="59"/>
        <v>0</v>
      </c>
      <c r="Q265" s="58">
        <f t="shared" si="59"/>
        <v>665444</v>
      </c>
      <c r="R265" s="58">
        <f>SUM(J254:J265)</f>
        <v>721962</v>
      </c>
      <c r="S265" s="29">
        <f>SUM(K254:K265)</f>
        <v>781340</v>
      </c>
      <c r="T265" s="29"/>
      <c r="U265" s="29"/>
      <c r="V265" s="29"/>
      <c r="W265" s="29"/>
    </row>
    <row r="266" spans="1:23" x14ac:dyDescent="0.3">
      <c r="A266" s="109">
        <v>241</v>
      </c>
      <c r="B266" s="58">
        <f>B265-C266</f>
        <v>0</v>
      </c>
      <c r="C266" s="116">
        <f t="shared" si="53"/>
        <v>0</v>
      </c>
      <c r="D266" s="117">
        <f t="shared" si="54"/>
        <v>0</v>
      </c>
      <c r="E266" s="116">
        <f t="shared" si="55"/>
        <v>0</v>
      </c>
      <c r="F266" s="116">
        <f t="shared" si="48"/>
        <v>0</v>
      </c>
      <c r="G266" s="117">
        <f t="shared" si="49"/>
        <v>0</v>
      </c>
      <c r="H266" s="116">
        <f t="shared" si="45"/>
        <v>0</v>
      </c>
      <c r="I266" s="116">
        <f t="shared" si="50"/>
        <v>0</v>
      </c>
      <c r="J266" s="119">
        <f t="shared" si="51"/>
        <v>0</v>
      </c>
      <c r="K266" s="119">
        <f t="shared" si="52"/>
        <v>0</v>
      </c>
      <c r="L266" s="110"/>
      <c r="M266" s="110"/>
      <c r="N266" s="110"/>
      <c r="O266" s="110"/>
      <c r="P266" s="110"/>
      <c r="Q266" s="110"/>
      <c r="R266" s="110"/>
    </row>
    <row r="267" spans="1:23" x14ac:dyDescent="0.3">
      <c r="A267" s="109">
        <v>242</v>
      </c>
      <c r="B267" s="58">
        <f t="shared" si="47"/>
        <v>0</v>
      </c>
      <c r="C267" s="116">
        <f t="shared" si="53"/>
        <v>0</v>
      </c>
      <c r="D267" s="117">
        <f t="shared" si="54"/>
        <v>0</v>
      </c>
      <c r="E267" s="116">
        <f t="shared" si="55"/>
        <v>0</v>
      </c>
      <c r="F267" s="116">
        <f t="shared" si="48"/>
        <v>0</v>
      </c>
      <c r="G267" s="117">
        <f t="shared" si="49"/>
        <v>0</v>
      </c>
      <c r="H267" s="116">
        <f t="shared" si="45"/>
        <v>0</v>
      </c>
      <c r="I267" s="116">
        <f t="shared" si="50"/>
        <v>0</v>
      </c>
      <c r="J267" s="119">
        <f t="shared" si="51"/>
        <v>0</v>
      </c>
      <c r="K267" s="119">
        <f t="shared" si="52"/>
        <v>0</v>
      </c>
      <c r="L267" s="110"/>
      <c r="M267" s="110"/>
      <c r="N267" s="110"/>
      <c r="O267" s="110"/>
      <c r="P267" s="110"/>
      <c r="Q267" s="110"/>
      <c r="R267" s="110"/>
    </row>
    <row r="268" spans="1:23" x14ac:dyDescent="0.3">
      <c r="A268" s="109">
        <v>243</v>
      </c>
      <c r="B268" s="58">
        <f t="shared" si="47"/>
        <v>0</v>
      </c>
      <c r="C268" s="116">
        <f t="shared" si="53"/>
        <v>0</v>
      </c>
      <c r="D268" s="117">
        <f t="shared" si="54"/>
        <v>0</v>
      </c>
      <c r="E268" s="116">
        <f t="shared" si="55"/>
        <v>0</v>
      </c>
      <c r="F268" s="116">
        <f t="shared" si="48"/>
        <v>0</v>
      </c>
      <c r="G268" s="117">
        <f t="shared" si="49"/>
        <v>0</v>
      </c>
      <c r="H268" s="116">
        <f t="shared" si="45"/>
        <v>0</v>
      </c>
      <c r="I268" s="116">
        <f t="shared" si="50"/>
        <v>0</v>
      </c>
      <c r="J268" s="119">
        <f t="shared" si="51"/>
        <v>0</v>
      </c>
      <c r="K268" s="119">
        <f t="shared" si="52"/>
        <v>0</v>
      </c>
      <c r="L268" s="110"/>
      <c r="M268" s="110"/>
      <c r="N268" s="110"/>
      <c r="O268" s="110"/>
      <c r="P268" s="110"/>
      <c r="Q268" s="110"/>
      <c r="R268" s="110"/>
    </row>
    <row r="269" spans="1:23" x14ac:dyDescent="0.3">
      <c r="A269" s="109">
        <v>244</v>
      </c>
      <c r="B269" s="58">
        <f t="shared" si="47"/>
        <v>0</v>
      </c>
      <c r="C269" s="116">
        <f t="shared" si="53"/>
        <v>0</v>
      </c>
      <c r="D269" s="117">
        <f t="shared" si="54"/>
        <v>0</v>
      </c>
      <c r="E269" s="116">
        <f t="shared" si="55"/>
        <v>0</v>
      </c>
      <c r="F269" s="116">
        <f t="shared" si="48"/>
        <v>0</v>
      </c>
      <c r="G269" s="117">
        <f t="shared" si="49"/>
        <v>0</v>
      </c>
      <c r="H269" s="116">
        <f t="shared" si="45"/>
        <v>0</v>
      </c>
      <c r="I269" s="116">
        <f t="shared" si="50"/>
        <v>0</v>
      </c>
      <c r="J269" s="119">
        <f t="shared" si="51"/>
        <v>0</v>
      </c>
      <c r="K269" s="119">
        <f t="shared" si="52"/>
        <v>0</v>
      </c>
      <c r="L269" s="110"/>
      <c r="M269" s="110"/>
      <c r="N269" s="110"/>
      <c r="O269" s="110"/>
      <c r="P269" s="110"/>
      <c r="Q269" s="110"/>
      <c r="R269" s="110"/>
    </row>
    <row r="270" spans="1:23" x14ac:dyDescent="0.3">
      <c r="A270" s="109">
        <v>245</v>
      </c>
      <c r="B270" s="58">
        <f t="shared" si="47"/>
        <v>0</v>
      </c>
      <c r="C270" s="116">
        <f t="shared" si="53"/>
        <v>0</v>
      </c>
      <c r="D270" s="117">
        <f t="shared" si="54"/>
        <v>0</v>
      </c>
      <c r="E270" s="116">
        <f t="shared" si="55"/>
        <v>0</v>
      </c>
      <c r="F270" s="116">
        <f t="shared" si="48"/>
        <v>0</v>
      </c>
      <c r="G270" s="117">
        <f t="shared" si="49"/>
        <v>0</v>
      </c>
      <c r="H270" s="116">
        <f t="shared" si="45"/>
        <v>0</v>
      </c>
      <c r="I270" s="116">
        <f t="shared" si="50"/>
        <v>0</v>
      </c>
      <c r="J270" s="119">
        <f t="shared" si="51"/>
        <v>0</v>
      </c>
      <c r="K270" s="119">
        <f t="shared" si="52"/>
        <v>0</v>
      </c>
      <c r="L270" s="110"/>
      <c r="M270" s="110"/>
      <c r="N270" s="110"/>
      <c r="O270" s="110"/>
      <c r="P270" s="110"/>
      <c r="Q270" s="110"/>
      <c r="R270" s="110"/>
    </row>
    <row r="271" spans="1:23" x14ac:dyDescent="0.3">
      <c r="A271" s="109">
        <v>246</v>
      </c>
      <c r="B271" s="58">
        <f t="shared" si="47"/>
        <v>0</v>
      </c>
      <c r="C271" s="116">
        <f t="shared" si="53"/>
        <v>0</v>
      </c>
      <c r="D271" s="117">
        <f t="shared" si="54"/>
        <v>0</v>
      </c>
      <c r="E271" s="116">
        <f t="shared" si="55"/>
        <v>0</v>
      </c>
      <c r="F271" s="116">
        <f t="shared" si="48"/>
        <v>0</v>
      </c>
      <c r="G271" s="117">
        <f t="shared" si="49"/>
        <v>0</v>
      </c>
      <c r="H271" s="116">
        <f t="shared" si="45"/>
        <v>0</v>
      </c>
      <c r="I271" s="116">
        <f t="shared" si="50"/>
        <v>0</v>
      </c>
      <c r="J271" s="119">
        <f t="shared" si="51"/>
        <v>0</v>
      </c>
      <c r="K271" s="119">
        <f t="shared" si="52"/>
        <v>0</v>
      </c>
      <c r="L271" s="110"/>
      <c r="M271" s="110"/>
      <c r="N271" s="110"/>
      <c r="O271" s="110"/>
      <c r="P271" s="110"/>
      <c r="Q271" s="110"/>
      <c r="R271" s="110"/>
    </row>
    <row r="272" spans="1:23" x14ac:dyDescent="0.3">
      <c r="A272" s="109">
        <v>247</v>
      </c>
      <c r="B272" s="58">
        <f t="shared" si="47"/>
        <v>0</v>
      </c>
      <c r="C272" s="116">
        <f t="shared" si="53"/>
        <v>0</v>
      </c>
      <c r="D272" s="117">
        <f t="shared" si="54"/>
        <v>0</v>
      </c>
      <c r="E272" s="116">
        <f t="shared" si="55"/>
        <v>0</v>
      </c>
      <c r="F272" s="116">
        <f t="shared" si="48"/>
        <v>0</v>
      </c>
      <c r="G272" s="117">
        <f t="shared" si="49"/>
        <v>0</v>
      </c>
      <c r="H272" s="116">
        <f t="shared" si="45"/>
        <v>0</v>
      </c>
      <c r="I272" s="116">
        <f t="shared" si="50"/>
        <v>0</v>
      </c>
      <c r="J272" s="119">
        <f t="shared" si="51"/>
        <v>0</v>
      </c>
      <c r="K272" s="119">
        <f t="shared" si="52"/>
        <v>0</v>
      </c>
      <c r="L272" s="110"/>
      <c r="M272" s="110"/>
      <c r="N272" s="110"/>
      <c r="O272" s="110"/>
      <c r="P272" s="110"/>
      <c r="Q272" s="110"/>
      <c r="R272" s="110"/>
    </row>
    <row r="273" spans="1:23" x14ac:dyDescent="0.3">
      <c r="A273" s="109">
        <v>248</v>
      </c>
      <c r="B273" s="58">
        <f t="shared" si="47"/>
        <v>0</v>
      </c>
      <c r="C273" s="116">
        <f t="shared" si="53"/>
        <v>0</v>
      </c>
      <c r="D273" s="117">
        <f t="shared" si="54"/>
        <v>0</v>
      </c>
      <c r="E273" s="116">
        <f t="shared" si="55"/>
        <v>0</v>
      </c>
      <c r="F273" s="116">
        <f t="shared" si="48"/>
        <v>0</v>
      </c>
      <c r="G273" s="117">
        <f t="shared" si="49"/>
        <v>0</v>
      </c>
      <c r="H273" s="116">
        <f t="shared" si="45"/>
        <v>0</v>
      </c>
      <c r="I273" s="116">
        <f t="shared" si="50"/>
        <v>0</v>
      </c>
      <c r="J273" s="119">
        <f t="shared" si="51"/>
        <v>0</v>
      </c>
      <c r="K273" s="119">
        <f t="shared" si="52"/>
        <v>0</v>
      </c>
      <c r="L273" s="110"/>
      <c r="M273" s="110"/>
      <c r="N273" s="110"/>
      <c r="O273" s="110"/>
      <c r="P273" s="110"/>
      <c r="Q273" s="110"/>
      <c r="R273" s="110"/>
    </row>
    <row r="274" spans="1:23" x14ac:dyDescent="0.3">
      <c r="A274" s="109">
        <v>249</v>
      </c>
      <c r="B274" s="58">
        <f t="shared" si="47"/>
        <v>0</v>
      </c>
      <c r="C274" s="116">
        <f t="shared" si="53"/>
        <v>0</v>
      </c>
      <c r="D274" s="117">
        <f t="shared" si="54"/>
        <v>0</v>
      </c>
      <c r="E274" s="116">
        <f t="shared" si="55"/>
        <v>0</v>
      </c>
      <c r="F274" s="116">
        <f t="shared" si="48"/>
        <v>0</v>
      </c>
      <c r="G274" s="117">
        <f t="shared" si="49"/>
        <v>0</v>
      </c>
      <c r="H274" s="116">
        <f t="shared" ref="H274:H325" si="60">F274+G274</f>
        <v>0</v>
      </c>
      <c r="I274" s="116">
        <f t="shared" si="50"/>
        <v>0</v>
      </c>
      <c r="J274" s="119">
        <f t="shared" si="51"/>
        <v>0</v>
      </c>
      <c r="K274" s="119">
        <f t="shared" si="52"/>
        <v>0</v>
      </c>
      <c r="L274" s="110"/>
      <c r="M274" s="110"/>
      <c r="N274" s="110"/>
      <c r="O274" s="110"/>
      <c r="P274" s="110"/>
      <c r="Q274" s="110"/>
      <c r="R274" s="110"/>
    </row>
    <row r="275" spans="1:23" x14ac:dyDescent="0.3">
      <c r="A275" s="109">
        <v>250</v>
      </c>
      <c r="B275" s="58">
        <f t="shared" si="47"/>
        <v>0</v>
      </c>
      <c r="C275" s="116">
        <f t="shared" si="53"/>
        <v>0</v>
      </c>
      <c r="D275" s="117">
        <f t="shared" si="54"/>
        <v>0</v>
      </c>
      <c r="E275" s="116">
        <f t="shared" si="55"/>
        <v>0</v>
      </c>
      <c r="F275" s="116">
        <f t="shared" si="48"/>
        <v>0</v>
      </c>
      <c r="G275" s="117">
        <f t="shared" si="49"/>
        <v>0</v>
      </c>
      <c r="H275" s="116">
        <f t="shared" si="60"/>
        <v>0</v>
      </c>
      <c r="I275" s="116">
        <f t="shared" si="50"/>
        <v>0</v>
      </c>
      <c r="J275" s="119">
        <f t="shared" si="51"/>
        <v>0</v>
      </c>
      <c r="K275" s="119">
        <f t="shared" si="52"/>
        <v>0</v>
      </c>
      <c r="L275" s="110"/>
      <c r="M275" s="110"/>
      <c r="N275" s="110"/>
      <c r="O275" s="110"/>
      <c r="P275" s="110"/>
      <c r="Q275" s="110"/>
      <c r="R275" s="110"/>
    </row>
    <row r="276" spans="1:23" x14ac:dyDescent="0.3">
      <c r="A276" s="109">
        <v>251</v>
      </c>
      <c r="B276" s="58">
        <f t="shared" si="47"/>
        <v>0</v>
      </c>
      <c r="C276" s="116">
        <f t="shared" si="53"/>
        <v>0</v>
      </c>
      <c r="D276" s="117">
        <f t="shared" si="54"/>
        <v>0</v>
      </c>
      <c r="E276" s="116">
        <f t="shared" si="55"/>
        <v>0</v>
      </c>
      <c r="F276" s="116">
        <f t="shared" si="48"/>
        <v>0</v>
      </c>
      <c r="G276" s="117">
        <f t="shared" si="49"/>
        <v>0</v>
      </c>
      <c r="H276" s="116">
        <f t="shared" si="60"/>
        <v>0</v>
      </c>
      <c r="I276" s="116">
        <f t="shared" si="50"/>
        <v>0</v>
      </c>
      <c r="J276" s="119">
        <f t="shared" si="51"/>
        <v>0</v>
      </c>
      <c r="K276" s="119">
        <f t="shared" si="52"/>
        <v>0</v>
      </c>
      <c r="L276" s="110"/>
      <c r="M276" s="110"/>
      <c r="N276" s="110"/>
      <c r="O276" s="110"/>
      <c r="P276" s="110"/>
      <c r="Q276" s="110"/>
      <c r="R276" s="110"/>
    </row>
    <row r="277" spans="1:23" x14ac:dyDescent="0.3">
      <c r="A277" s="109">
        <v>252</v>
      </c>
      <c r="B277" s="58">
        <f t="shared" si="47"/>
        <v>0</v>
      </c>
      <c r="C277" s="116">
        <f t="shared" si="53"/>
        <v>0</v>
      </c>
      <c r="D277" s="117">
        <f t="shared" si="54"/>
        <v>0</v>
      </c>
      <c r="E277" s="116">
        <f t="shared" si="55"/>
        <v>0</v>
      </c>
      <c r="F277" s="116">
        <f t="shared" si="48"/>
        <v>0</v>
      </c>
      <c r="G277" s="117">
        <f t="shared" si="49"/>
        <v>0</v>
      </c>
      <c r="H277" s="116">
        <f t="shared" si="60"/>
        <v>0</v>
      </c>
      <c r="I277" s="116">
        <f t="shared" si="50"/>
        <v>0</v>
      </c>
      <c r="J277" s="119">
        <f t="shared" si="51"/>
        <v>0</v>
      </c>
      <c r="K277" s="119">
        <f t="shared" si="52"/>
        <v>0</v>
      </c>
      <c r="L277" s="58">
        <f t="shared" ref="L277:Q277" si="61">SUM(C266:C277)</f>
        <v>0</v>
      </c>
      <c r="M277" s="58">
        <f t="shared" si="61"/>
        <v>0</v>
      </c>
      <c r="N277" s="58">
        <f t="shared" si="61"/>
        <v>0</v>
      </c>
      <c r="O277" s="58">
        <f t="shared" si="61"/>
        <v>0</v>
      </c>
      <c r="P277" s="58">
        <f t="shared" si="61"/>
        <v>0</v>
      </c>
      <c r="Q277" s="58">
        <f t="shared" si="61"/>
        <v>0</v>
      </c>
      <c r="R277" s="58">
        <f>SUM(J266:J277)</f>
        <v>0</v>
      </c>
      <c r="S277" s="29">
        <f>SUM(K266:K277)</f>
        <v>0</v>
      </c>
      <c r="T277" s="29"/>
      <c r="U277" s="29"/>
      <c r="V277" s="29"/>
      <c r="W277" s="29"/>
    </row>
    <row r="278" spans="1:23" x14ac:dyDescent="0.3">
      <c r="A278" s="109">
        <v>253</v>
      </c>
      <c r="B278" s="58">
        <f t="shared" si="47"/>
        <v>0</v>
      </c>
      <c r="C278" s="116">
        <f t="shared" si="53"/>
        <v>0</v>
      </c>
      <c r="D278" s="117">
        <f t="shared" si="54"/>
        <v>0</v>
      </c>
      <c r="E278" s="116">
        <f t="shared" si="55"/>
        <v>0</v>
      </c>
      <c r="F278" s="116">
        <f t="shared" si="48"/>
        <v>0</v>
      </c>
      <c r="G278" s="117">
        <f t="shared" si="49"/>
        <v>0</v>
      </c>
      <c r="H278" s="116">
        <f t="shared" si="60"/>
        <v>0</v>
      </c>
      <c r="I278" s="116">
        <f t="shared" si="50"/>
        <v>0</v>
      </c>
      <c r="J278" s="119">
        <f t="shared" si="51"/>
        <v>0</v>
      </c>
      <c r="K278" s="119">
        <f t="shared" si="52"/>
        <v>0</v>
      </c>
      <c r="L278" s="110"/>
      <c r="M278" s="110"/>
      <c r="N278" s="110"/>
      <c r="O278" s="110"/>
      <c r="P278" s="110"/>
      <c r="Q278" s="110"/>
      <c r="R278" s="110"/>
    </row>
    <row r="279" spans="1:23" x14ac:dyDescent="0.3">
      <c r="A279" s="109">
        <v>254</v>
      </c>
      <c r="B279" s="58">
        <f t="shared" si="47"/>
        <v>0</v>
      </c>
      <c r="C279" s="116">
        <f t="shared" si="53"/>
        <v>0</v>
      </c>
      <c r="D279" s="117">
        <f t="shared" si="54"/>
        <v>0</v>
      </c>
      <c r="E279" s="116">
        <f t="shared" si="55"/>
        <v>0</v>
      </c>
      <c r="F279" s="116">
        <f t="shared" si="48"/>
        <v>0</v>
      </c>
      <c r="G279" s="117">
        <f t="shared" si="49"/>
        <v>0</v>
      </c>
      <c r="H279" s="116">
        <f t="shared" si="60"/>
        <v>0</v>
      </c>
      <c r="I279" s="116">
        <f t="shared" si="50"/>
        <v>0</v>
      </c>
      <c r="J279" s="119">
        <f t="shared" si="51"/>
        <v>0</v>
      </c>
      <c r="K279" s="119">
        <f t="shared" si="52"/>
        <v>0</v>
      </c>
      <c r="L279" s="110"/>
      <c r="M279" s="110"/>
      <c r="N279" s="110"/>
      <c r="O279" s="110"/>
      <c r="P279" s="110"/>
      <c r="Q279" s="110"/>
      <c r="R279" s="110"/>
    </row>
    <row r="280" spans="1:23" x14ac:dyDescent="0.3">
      <c r="A280" s="109">
        <v>255</v>
      </c>
      <c r="B280" s="58">
        <f t="shared" si="47"/>
        <v>0</v>
      </c>
      <c r="C280" s="116">
        <f t="shared" si="53"/>
        <v>0</v>
      </c>
      <c r="D280" s="117">
        <f t="shared" si="54"/>
        <v>0</v>
      </c>
      <c r="E280" s="116">
        <f t="shared" si="55"/>
        <v>0</v>
      </c>
      <c r="F280" s="116">
        <f t="shared" si="48"/>
        <v>0</v>
      </c>
      <c r="G280" s="117">
        <f t="shared" si="49"/>
        <v>0</v>
      </c>
      <c r="H280" s="116">
        <f t="shared" si="60"/>
        <v>0</v>
      </c>
      <c r="I280" s="116">
        <f t="shared" si="50"/>
        <v>0</v>
      </c>
      <c r="J280" s="119">
        <f t="shared" si="51"/>
        <v>0</v>
      </c>
      <c r="K280" s="119">
        <f t="shared" si="52"/>
        <v>0</v>
      </c>
      <c r="L280" s="110"/>
      <c r="M280" s="110"/>
      <c r="N280" s="110"/>
      <c r="O280" s="110"/>
      <c r="P280" s="110"/>
      <c r="Q280" s="110"/>
      <c r="R280" s="110"/>
    </row>
    <row r="281" spans="1:23" x14ac:dyDescent="0.3">
      <c r="A281" s="109">
        <v>256</v>
      </c>
      <c r="B281" s="58">
        <f t="shared" si="47"/>
        <v>0</v>
      </c>
      <c r="C281" s="116">
        <f t="shared" si="53"/>
        <v>0</v>
      </c>
      <c r="D281" s="117">
        <f t="shared" si="54"/>
        <v>0</v>
      </c>
      <c r="E281" s="116">
        <f t="shared" si="55"/>
        <v>0</v>
      </c>
      <c r="F281" s="116">
        <f t="shared" si="48"/>
        <v>0</v>
      </c>
      <c r="G281" s="117">
        <f t="shared" si="49"/>
        <v>0</v>
      </c>
      <c r="H281" s="116">
        <f t="shared" si="60"/>
        <v>0</v>
      </c>
      <c r="I281" s="116">
        <f t="shared" si="50"/>
        <v>0</v>
      </c>
      <c r="J281" s="119">
        <f t="shared" si="51"/>
        <v>0</v>
      </c>
      <c r="K281" s="119">
        <f t="shared" si="52"/>
        <v>0</v>
      </c>
      <c r="L281" s="110"/>
      <c r="M281" s="110"/>
      <c r="N281" s="110"/>
      <c r="O281" s="110"/>
      <c r="P281" s="110"/>
      <c r="Q281" s="110"/>
      <c r="R281" s="110"/>
    </row>
    <row r="282" spans="1:23" x14ac:dyDescent="0.3">
      <c r="A282" s="109">
        <v>257</v>
      </c>
      <c r="B282" s="58">
        <f t="shared" ref="B282:B325" si="62">B281-C282</f>
        <v>0</v>
      </c>
      <c r="C282" s="116">
        <f t="shared" si="53"/>
        <v>0</v>
      </c>
      <c r="D282" s="117">
        <f t="shared" si="54"/>
        <v>0</v>
      </c>
      <c r="E282" s="116">
        <f t="shared" si="55"/>
        <v>0</v>
      </c>
      <c r="F282" s="116">
        <f t="shared" ref="F282:F325" si="63">ROUND(IF(A282&gt;$G$6,(IF(A282&gt;=$C$3,B281+D282,PMT($C$4/12,$C$3-$G$6,-$B$25))),D282),0)</f>
        <v>0</v>
      </c>
      <c r="G282" s="117">
        <f t="shared" ref="G282:G325" si="64">ROUND(IF(A282&gt;$G$6,0,$B$25*$C$14/360*30),0)</f>
        <v>0</v>
      </c>
      <c r="H282" s="116">
        <f t="shared" si="60"/>
        <v>0</v>
      </c>
      <c r="I282" s="116">
        <f t="shared" ref="I282:I325" si="65">IF(A282&lt;=$C$3,H282+$C$17,0)</f>
        <v>0</v>
      </c>
      <c r="J282" s="119">
        <f t="shared" ref="J282:J325" si="66">ROUND(IF(A282&gt;$G$6,(IF(A282&gt;=$C$3,B281+D282,PMT($L$12/12,$C$3-$G$6,-$B$25))),D282),0)</f>
        <v>0</v>
      </c>
      <c r="K282" s="119">
        <f t="shared" ref="K282:K325" si="67">ROUND(IF(A282&gt;$G$6,(IF(A282&gt;=$C$3,B281+D282,PMT($L$13/12,$C$3-$G$6,-$B$25))),D282),0)</f>
        <v>0</v>
      </c>
      <c r="L282" s="110"/>
      <c r="M282" s="110"/>
      <c r="N282" s="110"/>
      <c r="O282" s="110"/>
      <c r="P282" s="110"/>
      <c r="Q282" s="110"/>
      <c r="R282" s="110"/>
    </row>
    <row r="283" spans="1:23" x14ac:dyDescent="0.3">
      <c r="A283" s="109">
        <v>258</v>
      </c>
      <c r="B283" s="58">
        <f t="shared" si="62"/>
        <v>0</v>
      </c>
      <c r="C283" s="116">
        <f t="shared" ref="C283:C326" si="68">+F283-D283</f>
        <v>0</v>
      </c>
      <c r="D283" s="117">
        <f t="shared" ref="D283:D325" si="69">ROUND(IF(A283&gt;$G$6,B282*$C$4*30/360,0),0)</f>
        <v>0</v>
      </c>
      <c r="E283" s="116">
        <f t="shared" ref="E283:E325" si="70">ROUND(IF(A283&gt;$C$3,0,$B$25*($C$5/12)),0)</f>
        <v>0</v>
      </c>
      <c r="F283" s="116">
        <f t="shared" si="63"/>
        <v>0</v>
      </c>
      <c r="G283" s="117">
        <f t="shared" si="64"/>
        <v>0</v>
      </c>
      <c r="H283" s="116">
        <f t="shared" si="60"/>
        <v>0</v>
      </c>
      <c r="I283" s="116">
        <f t="shared" si="65"/>
        <v>0</v>
      </c>
      <c r="J283" s="119">
        <f t="shared" si="66"/>
        <v>0</v>
      </c>
      <c r="K283" s="119">
        <f t="shared" si="67"/>
        <v>0</v>
      </c>
      <c r="L283" s="110"/>
      <c r="M283" s="110"/>
      <c r="N283" s="110"/>
      <c r="O283" s="110"/>
      <c r="P283" s="110"/>
      <c r="Q283" s="110"/>
      <c r="R283" s="110"/>
    </row>
    <row r="284" spans="1:23" x14ac:dyDescent="0.3">
      <c r="A284" s="109">
        <v>259</v>
      </c>
      <c r="B284" s="58">
        <f t="shared" si="62"/>
        <v>0</v>
      </c>
      <c r="C284" s="116">
        <f t="shared" si="68"/>
        <v>0</v>
      </c>
      <c r="D284" s="117">
        <f t="shared" si="69"/>
        <v>0</v>
      </c>
      <c r="E284" s="116">
        <f t="shared" si="70"/>
        <v>0</v>
      </c>
      <c r="F284" s="116">
        <f t="shared" si="63"/>
        <v>0</v>
      </c>
      <c r="G284" s="117">
        <f t="shared" si="64"/>
        <v>0</v>
      </c>
      <c r="H284" s="116">
        <f t="shared" si="60"/>
        <v>0</v>
      </c>
      <c r="I284" s="116">
        <f t="shared" si="65"/>
        <v>0</v>
      </c>
      <c r="J284" s="119">
        <f t="shared" si="66"/>
        <v>0</v>
      </c>
      <c r="K284" s="119">
        <f t="shared" si="67"/>
        <v>0</v>
      </c>
      <c r="L284" s="110"/>
      <c r="M284" s="110"/>
      <c r="N284" s="110"/>
      <c r="O284" s="110"/>
      <c r="P284" s="110"/>
      <c r="Q284" s="110"/>
      <c r="R284" s="110"/>
    </row>
    <row r="285" spans="1:23" x14ac:dyDescent="0.3">
      <c r="A285" s="109">
        <v>260</v>
      </c>
      <c r="B285" s="58">
        <f t="shared" si="62"/>
        <v>0</v>
      </c>
      <c r="C285" s="116">
        <f t="shared" si="68"/>
        <v>0</v>
      </c>
      <c r="D285" s="117">
        <f t="shared" si="69"/>
        <v>0</v>
      </c>
      <c r="E285" s="116">
        <f t="shared" si="70"/>
        <v>0</v>
      </c>
      <c r="F285" s="116">
        <f t="shared" si="63"/>
        <v>0</v>
      </c>
      <c r="G285" s="117">
        <f t="shared" si="64"/>
        <v>0</v>
      </c>
      <c r="H285" s="116">
        <f t="shared" si="60"/>
        <v>0</v>
      </c>
      <c r="I285" s="116">
        <f t="shared" si="65"/>
        <v>0</v>
      </c>
      <c r="J285" s="119">
        <f t="shared" si="66"/>
        <v>0</v>
      </c>
      <c r="K285" s="119">
        <f t="shared" si="67"/>
        <v>0</v>
      </c>
      <c r="L285" s="110"/>
      <c r="M285" s="110"/>
      <c r="N285" s="110"/>
      <c r="O285" s="110"/>
      <c r="P285" s="110"/>
      <c r="Q285" s="110"/>
      <c r="R285" s="110"/>
    </row>
    <row r="286" spans="1:23" x14ac:dyDescent="0.3">
      <c r="A286" s="109">
        <v>261</v>
      </c>
      <c r="B286" s="58">
        <f t="shared" si="62"/>
        <v>0</v>
      </c>
      <c r="C286" s="116">
        <f t="shared" si="68"/>
        <v>0</v>
      </c>
      <c r="D286" s="117">
        <f t="shared" si="69"/>
        <v>0</v>
      </c>
      <c r="E286" s="116">
        <f t="shared" si="70"/>
        <v>0</v>
      </c>
      <c r="F286" s="116">
        <f t="shared" si="63"/>
        <v>0</v>
      </c>
      <c r="G286" s="117">
        <f t="shared" si="64"/>
        <v>0</v>
      </c>
      <c r="H286" s="116">
        <f t="shared" si="60"/>
        <v>0</v>
      </c>
      <c r="I286" s="116">
        <f t="shared" si="65"/>
        <v>0</v>
      </c>
      <c r="J286" s="119">
        <f t="shared" si="66"/>
        <v>0</v>
      </c>
      <c r="K286" s="119">
        <f t="shared" si="67"/>
        <v>0</v>
      </c>
      <c r="L286" s="110"/>
      <c r="M286" s="110"/>
      <c r="N286" s="110"/>
      <c r="O286" s="110"/>
      <c r="P286" s="110"/>
      <c r="Q286" s="110"/>
      <c r="R286" s="110"/>
    </row>
    <row r="287" spans="1:23" x14ac:dyDescent="0.3">
      <c r="A287" s="109">
        <v>262</v>
      </c>
      <c r="B287" s="58">
        <f t="shared" si="62"/>
        <v>0</v>
      </c>
      <c r="C287" s="116">
        <f t="shared" si="68"/>
        <v>0</v>
      </c>
      <c r="D287" s="117">
        <f t="shared" si="69"/>
        <v>0</v>
      </c>
      <c r="E287" s="116">
        <f t="shared" si="70"/>
        <v>0</v>
      </c>
      <c r="F287" s="116">
        <f t="shared" si="63"/>
        <v>0</v>
      </c>
      <c r="G287" s="117">
        <f t="shared" si="64"/>
        <v>0</v>
      </c>
      <c r="H287" s="116">
        <f t="shared" si="60"/>
        <v>0</v>
      </c>
      <c r="I287" s="116">
        <f t="shared" si="65"/>
        <v>0</v>
      </c>
      <c r="J287" s="119">
        <f t="shared" si="66"/>
        <v>0</v>
      </c>
      <c r="K287" s="119">
        <f t="shared" si="67"/>
        <v>0</v>
      </c>
      <c r="L287" s="110"/>
      <c r="M287" s="110"/>
      <c r="N287" s="110"/>
      <c r="O287" s="110"/>
      <c r="P287" s="110"/>
      <c r="Q287" s="110"/>
      <c r="R287" s="110"/>
    </row>
    <row r="288" spans="1:23" x14ac:dyDescent="0.3">
      <c r="A288" s="109">
        <v>263</v>
      </c>
      <c r="B288" s="58">
        <f t="shared" si="62"/>
        <v>0</v>
      </c>
      <c r="C288" s="116">
        <f t="shared" si="68"/>
        <v>0</v>
      </c>
      <c r="D288" s="117">
        <f t="shared" si="69"/>
        <v>0</v>
      </c>
      <c r="E288" s="116">
        <f t="shared" si="70"/>
        <v>0</v>
      </c>
      <c r="F288" s="116">
        <f t="shared" si="63"/>
        <v>0</v>
      </c>
      <c r="G288" s="117">
        <f t="shared" si="64"/>
        <v>0</v>
      </c>
      <c r="H288" s="116">
        <f t="shared" si="60"/>
        <v>0</v>
      </c>
      <c r="I288" s="116">
        <f t="shared" si="65"/>
        <v>0</v>
      </c>
      <c r="J288" s="119">
        <f t="shared" si="66"/>
        <v>0</v>
      </c>
      <c r="K288" s="119">
        <f t="shared" si="67"/>
        <v>0</v>
      </c>
      <c r="L288" s="110"/>
      <c r="M288" s="110"/>
      <c r="N288" s="110"/>
      <c r="O288" s="110"/>
      <c r="P288" s="110"/>
      <c r="Q288" s="110"/>
      <c r="R288" s="110"/>
    </row>
    <row r="289" spans="1:23" x14ac:dyDescent="0.3">
      <c r="A289" s="109">
        <v>264</v>
      </c>
      <c r="B289" s="58">
        <f t="shared" si="62"/>
        <v>0</v>
      </c>
      <c r="C289" s="116">
        <f t="shared" si="68"/>
        <v>0</v>
      </c>
      <c r="D289" s="117">
        <f t="shared" si="69"/>
        <v>0</v>
      </c>
      <c r="E289" s="116">
        <f t="shared" si="70"/>
        <v>0</v>
      </c>
      <c r="F289" s="116">
        <f t="shared" si="63"/>
        <v>0</v>
      </c>
      <c r="G289" s="117">
        <f t="shared" si="64"/>
        <v>0</v>
      </c>
      <c r="H289" s="116">
        <f t="shared" si="60"/>
        <v>0</v>
      </c>
      <c r="I289" s="116">
        <f t="shared" si="65"/>
        <v>0</v>
      </c>
      <c r="J289" s="119">
        <f t="shared" si="66"/>
        <v>0</v>
      </c>
      <c r="K289" s="119">
        <f t="shared" si="67"/>
        <v>0</v>
      </c>
      <c r="L289" s="58">
        <f t="shared" ref="L289:Q289" si="71">SUM(C278:C289)</f>
        <v>0</v>
      </c>
      <c r="M289" s="58">
        <f t="shared" si="71"/>
        <v>0</v>
      </c>
      <c r="N289" s="58">
        <f t="shared" si="71"/>
        <v>0</v>
      </c>
      <c r="O289" s="58">
        <f t="shared" si="71"/>
        <v>0</v>
      </c>
      <c r="P289" s="58">
        <f t="shared" si="71"/>
        <v>0</v>
      </c>
      <c r="Q289" s="58">
        <f t="shared" si="71"/>
        <v>0</v>
      </c>
      <c r="R289" s="58">
        <f>SUM(J278:J289)</f>
        <v>0</v>
      </c>
      <c r="S289" s="29">
        <f>SUM(K278:K289)</f>
        <v>0</v>
      </c>
      <c r="T289" s="29"/>
      <c r="U289" s="29"/>
      <c r="V289" s="29"/>
      <c r="W289" s="29"/>
    </row>
    <row r="290" spans="1:23" x14ac:dyDescent="0.3">
      <c r="A290" s="109">
        <v>265</v>
      </c>
      <c r="B290" s="58">
        <f t="shared" si="62"/>
        <v>0</v>
      </c>
      <c r="C290" s="116">
        <f t="shared" si="68"/>
        <v>0</v>
      </c>
      <c r="D290" s="117">
        <f t="shared" si="69"/>
        <v>0</v>
      </c>
      <c r="E290" s="116">
        <f t="shared" si="70"/>
        <v>0</v>
      </c>
      <c r="F290" s="116">
        <f t="shared" si="63"/>
        <v>0</v>
      </c>
      <c r="G290" s="117">
        <f t="shared" si="64"/>
        <v>0</v>
      </c>
      <c r="H290" s="116">
        <f t="shared" si="60"/>
        <v>0</v>
      </c>
      <c r="I290" s="116">
        <f t="shared" si="65"/>
        <v>0</v>
      </c>
      <c r="J290" s="119">
        <f t="shared" si="66"/>
        <v>0</v>
      </c>
      <c r="K290" s="119">
        <f t="shared" si="67"/>
        <v>0</v>
      </c>
      <c r="L290" s="110"/>
      <c r="M290" s="110"/>
      <c r="N290" s="110"/>
      <c r="O290" s="110"/>
      <c r="P290" s="110"/>
      <c r="Q290" s="110"/>
      <c r="R290" s="110"/>
    </row>
    <row r="291" spans="1:23" x14ac:dyDescent="0.3">
      <c r="A291" s="109">
        <v>266</v>
      </c>
      <c r="B291" s="58">
        <f t="shared" si="62"/>
        <v>0</v>
      </c>
      <c r="C291" s="116">
        <f t="shared" si="68"/>
        <v>0</v>
      </c>
      <c r="D291" s="117">
        <f t="shared" si="69"/>
        <v>0</v>
      </c>
      <c r="E291" s="116">
        <f t="shared" si="70"/>
        <v>0</v>
      </c>
      <c r="F291" s="116">
        <f t="shared" si="63"/>
        <v>0</v>
      </c>
      <c r="G291" s="117">
        <f t="shared" si="64"/>
        <v>0</v>
      </c>
      <c r="H291" s="116">
        <f t="shared" si="60"/>
        <v>0</v>
      </c>
      <c r="I291" s="116">
        <f t="shared" si="65"/>
        <v>0</v>
      </c>
      <c r="J291" s="119">
        <f t="shared" si="66"/>
        <v>0</v>
      </c>
      <c r="K291" s="119">
        <f t="shared" si="67"/>
        <v>0</v>
      </c>
      <c r="L291" s="110"/>
      <c r="M291" s="110"/>
      <c r="N291" s="110"/>
      <c r="O291" s="110"/>
      <c r="P291" s="110"/>
      <c r="Q291" s="110"/>
      <c r="R291" s="110"/>
    </row>
    <row r="292" spans="1:23" x14ac:dyDescent="0.3">
      <c r="A292" s="109">
        <v>267</v>
      </c>
      <c r="B292" s="58">
        <f t="shared" si="62"/>
        <v>0</v>
      </c>
      <c r="C292" s="116">
        <f t="shared" si="68"/>
        <v>0</v>
      </c>
      <c r="D292" s="117">
        <f t="shared" si="69"/>
        <v>0</v>
      </c>
      <c r="E292" s="116">
        <f t="shared" si="70"/>
        <v>0</v>
      </c>
      <c r="F292" s="116">
        <f t="shared" si="63"/>
        <v>0</v>
      </c>
      <c r="G292" s="117">
        <f t="shared" si="64"/>
        <v>0</v>
      </c>
      <c r="H292" s="116">
        <f t="shared" si="60"/>
        <v>0</v>
      </c>
      <c r="I292" s="116">
        <f t="shared" si="65"/>
        <v>0</v>
      </c>
      <c r="J292" s="119">
        <f t="shared" si="66"/>
        <v>0</v>
      </c>
      <c r="K292" s="119">
        <f t="shared" si="67"/>
        <v>0</v>
      </c>
      <c r="L292" s="110"/>
      <c r="M292" s="110"/>
      <c r="N292" s="110"/>
      <c r="O292" s="110"/>
      <c r="P292" s="110"/>
      <c r="Q292" s="110"/>
      <c r="R292" s="110"/>
    </row>
    <row r="293" spans="1:23" x14ac:dyDescent="0.3">
      <c r="A293" s="109">
        <v>268</v>
      </c>
      <c r="B293" s="58">
        <f t="shared" si="62"/>
        <v>0</v>
      </c>
      <c r="C293" s="116">
        <f t="shared" si="68"/>
        <v>0</v>
      </c>
      <c r="D293" s="117">
        <f t="shared" si="69"/>
        <v>0</v>
      </c>
      <c r="E293" s="116">
        <f t="shared" si="70"/>
        <v>0</v>
      </c>
      <c r="F293" s="116">
        <f t="shared" si="63"/>
        <v>0</v>
      </c>
      <c r="G293" s="117">
        <f t="shared" si="64"/>
        <v>0</v>
      </c>
      <c r="H293" s="116">
        <f t="shared" si="60"/>
        <v>0</v>
      </c>
      <c r="I293" s="116">
        <f t="shared" si="65"/>
        <v>0</v>
      </c>
      <c r="J293" s="119">
        <f t="shared" si="66"/>
        <v>0</v>
      </c>
      <c r="K293" s="119">
        <f t="shared" si="67"/>
        <v>0</v>
      </c>
      <c r="L293" s="110"/>
      <c r="M293" s="110"/>
      <c r="N293" s="110"/>
      <c r="O293" s="110"/>
      <c r="P293" s="110"/>
      <c r="Q293" s="110"/>
      <c r="R293" s="110"/>
    </row>
    <row r="294" spans="1:23" x14ac:dyDescent="0.3">
      <c r="A294" s="109">
        <v>269</v>
      </c>
      <c r="B294" s="58">
        <f t="shared" si="62"/>
        <v>0</v>
      </c>
      <c r="C294" s="116">
        <f t="shared" si="68"/>
        <v>0</v>
      </c>
      <c r="D294" s="117">
        <f t="shared" si="69"/>
        <v>0</v>
      </c>
      <c r="E294" s="116">
        <f t="shared" si="70"/>
        <v>0</v>
      </c>
      <c r="F294" s="116">
        <f t="shared" si="63"/>
        <v>0</v>
      </c>
      <c r="G294" s="117">
        <f t="shared" si="64"/>
        <v>0</v>
      </c>
      <c r="H294" s="116">
        <f t="shared" si="60"/>
        <v>0</v>
      </c>
      <c r="I294" s="116">
        <f t="shared" si="65"/>
        <v>0</v>
      </c>
      <c r="J294" s="119">
        <f t="shared" si="66"/>
        <v>0</v>
      </c>
      <c r="K294" s="119">
        <f t="shared" si="67"/>
        <v>0</v>
      </c>
      <c r="L294" s="110"/>
      <c r="M294" s="110"/>
      <c r="N294" s="110"/>
      <c r="O294" s="110"/>
      <c r="P294" s="110"/>
      <c r="Q294" s="110"/>
      <c r="R294" s="110"/>
    </row>
    <row r="295" spans="1:23" x14ac:dyDescent="0.3">
      <c r="A295" s="109">
        <v>270</v>
      </c>
      <c r="B295" s="58">
        <f t="shared" si="62"/>
        <v>0</v>
      </c>
      <c r="C295" s="116">
        <f t="shared" si="68"/>
        <v>0</v>
      </c>
      <c r="D295" s="117">
        <f t="shared" si="69"/>
        <v>0</v>
      </c>
      <c r="E295" s="116">
        <f t="shared" si="70"/>
        <v>0</v>
      </c>
      <c r="F295" s="116">
        <f t="shared" si="63"/>
        <v>0</v>
      </c>
      <c r="G295" s="117">
        <f t="shared" si="64"/>
        <v>0</v>
      </c>
      <c r="H295" s="116">
        <f t="shared" si="60"/>
        <v>0</v>
      </c>
      <c r="I295" s="116">
        <f t="shared" si="65"/>
        <v>0</v>
      </c>
      <c r="J295" s="119">
        <f t="shared" si="66"/>
        <v>0</v>
      </c>
      <c r="K295" s="119">
        <f t="shared" si="67"/>
        <v>0</v>
      </c>
      <c r="L295" s="110"/>
      <c r="M295" s="110"/>
      <c r="N295" s="110"/>
      <c r="O295" s="110"/>
      <c r="P295" s="110"/>
      <c r="Q295" s="110"/>
      <c r="R295" s="110"/>
    </row>
    <row r="296" spans="1:23" x14ac:dyDescent="0.3">
      <c r="A296" s="109">
        <v>271</v>
      </c>
      <c r="B296" s="58">
        <f t="shared" si="62"/>
        <v>0</v>
      </c>
      <c r="C296" s="116">
        <f t="shared" si="68"/>
        <v>0</v>
      </c>
      <c r="D296" s="117">
        <f t="shared" si="69"/>
        <v>0</v>
      </c>
      <c r="E296" s="116">
        <f t="shared" si="70"/>
        <v>0</v>
      </c>
      <c r="F296" s="116">
        <f t="shared" si="63"/>
        <v>0</v>
      </c>
      <c r="G296" s="117">
        <f t="shared" si="64"/>
        <v>0</v>
      </c>
      <c r="H296" s="116">
        <f t="shared" si="60"/>
        <v>0</v>
      </c>
      <c r="I296" s="116">
        <f t="shared" si="65"/>
        <v>0</v>
      </c>
      <c r="J296" s="119">
        <f t="shared" si="66"/>
        <v>0</v>
      </c>
      <c r="K296" s="119">
        <f t="shared" si="67"/>
        <v>0</v>
      </c>
      <c r="L296" s="110"/>
      <c r="M296" s="110"/>
      <c r="N296" s="110"/>
      <c r="O296" s="110"/>
      <c r="P296" s="110"/>
      <c r="Q296" s="110"/>
      <c r="R296" s="110"/>
    </row>
    <row r="297" spans="1:23" x14ac:dyDescent="0.3">
      <c r="A297" s="109">
        <v>272</v>
      </c>
      <c r="B297" s="58">
        <f t="shared" si="62"/>
        <v>0</v>
      </c>
      <c r="C297" s="116">
        <f t="shared" si="68"/>
        <v>0</v>
      </c>
      <c r="D297" s="117">
        <f t="shared" si="69"/>
        <v>0</v>
      </c>
      <c r="E297" s="116">
        <f t="shared" si="70"/>
        <v>0</v>
      </c>
      <c r="F297" s="116">
        <f t="shared" si="63"/>
        <v>0</v>
      </c>
      <c r="G297" s="117">
        <f t="shared" si="64"/>
        <v>0</v>
      </c>
      <c r="H297" s="116">
        <f t="shared" si="60"/>
        <v>0</v>
      </c>
      <c r="I297" s="116">
        <f t="shared" si="65"/>
        <v>0</v>
      </c>
      <c r="J297" s="119">
        <f t="shared" si="66"/>
        <v>0</v>
      </c>
      <c r="K297" s="119">
        <f t="shared" si="67"/>
        <v>0</v>
      </c>
      <c r="L297" s="110"/>
      <c r="M297" s="110"/>
      <c r="N297" s="110"/>
      <c r="O297" s="110"/>
      <c r="P297" s="110"/>
      <c r="Q297" s="110"/>
      <c r="R297" s="110"/>
    </row>
    <row r="298" spans="1:23" x14ac:dyDescent="0.3">
      <c r="A298" s="109">
        <v>273</v>
      </c>
      <c r="B298" s="58">
        <f t="shared" si="62"/>
        <v>0</v>
      </c>
      <c r="C298" s="116">
        <f t="shared" si="68"/>
        <v>0</v>
      </c>
      <c r="D298" s="117">
        <f t="shared" si="69"/>
        <v>0</v>
      </c>
      <c r="E298" s="116">
        <f t="shared" si="70"/>
        <v>0</v>
      </c>
      <c r="F298" s="116">
        <f t="shared" si="63"/>
        <v>0</v>
      </c>
      <c r="G298" s="117">
        <f t="shared" si="64"/>
        <v>0</v>
      </c>
      <c r="H298" s="116">
        <f t="shared" si="60"/>
        <v>0</v>
      </c>
      <c r="I298" s="116">
        <f t="shared" si="65"/>
        <v>0</v>
      </c>
      <c r="J298" s="119">
        <f t="shared" si="66"/>
        <v>0</v>
      </c>
      <c r="K298" s="119">
        <f t="shared" si="67"/>
        <v>0</v>
      </c>
      <c r="L298" s="110"/>
      <c r="M298" s="110"/>
      <c r="N298" s="110"/>
      <c r="O298" s="110"/>
      <c r="P298" s="110"/>
      <c r="Q298" s="110"/>
      <c r="R298" s="110"/>
    </row>
    <row r="299" spans="1:23" x14ac:dyDescent="0.3">
      <c r="A299" s="109">
        <v>274</v>
      </c>
      <c r="B299" s="58">
        <f t="shared" si="62"/>
        <v>0</v>
      </c>
      <c r="C299" s="116">
        <f t="shared" si="68"/>
        <v>0</v>
      </c>
      <c r="D299" s="117">
        <f t="shared" si="69"/>
        <v>0</v>
      </c>
      <c r="E299" s="116">
        <f t="shared" si="70"/>
        <v>0</v>
      </c>
      <c r="F299" s="116">
        <f t="shared" si="63"/>
        <v>0</v>
      </c>
      <c r="G299" s="117">
        <f t="shared" si="64"/>
        <v>0</v>
      </c>
      <c r="H299" s="116">
        <f t="shared" si="60"/>
        <v>0</v>
      </c>
      <c r="I299" s="116">
        <f t="shared" si="65"/>
        <v>0</v>
      </c>
      <c r="J299" s="119">
        <f t="shared" si="66"/>
        <v>0</v>
      </c>
      <c r="K299" s="119">
        <f t="shared" si="67"/>
        <v>0</v>
      </c>
      <c r="L299" s="110"/>
      <c r="M299" s="110"/>
      <c r="N299" s="110"/>
      <c r="O299" s="110"/>
      <c r="P299" s="110"/>
      <c r="Q299" s="110"/>
      <c r="R299" s="110"/>
    </row>
    <row r="300" spans="1:23" x14ac:dyDescent="0.3">
      <c r="A300" s="109">
        <v>275</v>
      </c>
      <c r="B300" s="58">
        <f t="shared" si="62"/>
        <v>0</v>
      </c>
      <c r="C300" s="116">
        <f t="shared" si="68"/>
        <v>0</v>
      </c>
      <c r="D300" s="117">
        <f t="shared" si="69"/>
        <v>0</v>
      </c>
      <c r="E300" s="116">
        <f t="shared" si="70"/>
        <v>0</v>
      </c>
      <c r="F300" s="116">
        <f t="shared" si="63"/>
        <v>0</v>
      </c>
      <c r="G300" s="117">
        <f t="shared" si="64"/>
        <v>0</v>
      </c>
      <c r="H300" s="116">
        <f t="shared" si="60"/>
        <v>0</v>
      </c>
      <c r="I300" s="116">
        <f t="shared" si="65"/>
        <v>0</v>
      </c>
      <c r="J300" s="119">
        <f t="shared" si="66"/>
        <v>0</v>
      </c>
      <c r="K300" s="119">
        <f t="shared" si="67"/>
        <v>0</v>
      </c>
      <c r="L300" s="110"/>
      <c r="M300" s="110"/>
      <c r="N300" s="110"/>
      <c r="O300" s="110"/>
      <c r="P300" s="110"/>
      <c r="Q300" s="110"/>
      <c r="R300" s="110"/>
    </row>
    <row r="301" spans="1:23" x14ac:dyDescent="0.3">
      <c r="A301" s="109">
        <v>276</v>
      </c>
      <c r="B301" s="58">
        <f t="shared" si="62"/>
        <v>0</v>
      </c>
      <c r="C301" s="116">
        <f t="shared" si="68"/>
        <v>0</v>
      </c>
      <c r="D301" s="117">
        <f t="shared" si="69"/>
        <v>0</v>
      </c>
      <c r="E301" s="116">
        <f t="shared" si="70"/>
        <v>0</v>
      </c>
      <c r="F301" s="116">
        <f t="shared" si="63"/>
        <v>0</v>
      </c>
      <c r="G301" s="117">
        <f t="shared" si="64"/>
        <v>0</v>
      </c>
      <c r="H301" s="116">
        <f t="shared" si="60"/>
        <v>0</v>
      </c>
      <c r="I301" s="116">
        <f t="shared" si="65"/>
        <v>0</v>
      </c>
      <c r="J301" s="119">
        <f t="shared" si="66"/>
        <v>0</v>
      </c>
      <c r="K301" s="119">
        <f t="shared" si="67"/>
        <v>0</v>
      </c>
      <c r="L301" s="58">
        <f t="shared" ref="L301:Q301" si="72">SUM(C290:C301)</f>
        <v>0</v>
      </c>
      <c r="M301" s="58">
        <f t="shared" si="72"/>
        <v>0</v>
      </c>
      <c r="N301" s="58">
        <f t="shared" si="72"/>
        <v>0</v>
      </c>
      <c r="O301" s="58">
        <f t="shared" si="72"/>
        <v>0</v>
      </c>
      <c r="P301" s="58">
        <f t="shared" si="72"/>
        <v>0</v>
      </c>
      <c r="Q301" s="58">
        <f t="shared" si="72"/>
        <v>0</v>
      </c>
      <c r="R301" s="58">
        <f>SUM(J290:J301)</f>
        <v>0</v>
      </c>
      <c r="S301" s="29">
        <f>SUM(K290:K301)</f>
        <v>0</v>
      </c>
      <c r="T301" s="29"/>
      <c r="U301" s="29"/>
      <c r="V301" s="29"/>
      <c r="W301" s="29"/>
    </row>
    <row r="302" spans="1:23" x14ac:dyDescent="0.3">
      <c r="A302" s="109">
        <v>277</v>
      </c>
      <c r="B302" s="58">
        <f t="shared" si="62"/>
        <v>0</v>
      </c>
      <c r="C302" s="116">
        <f t="shared" si="68"/>
        <v>0</v>
      </c>
      <c r="D302" s="117">
        <f t="shared" si="69"/>
        <v>0</v>
      </c>
      <c r="E302" s="116">
        <f t="shared" si="70"/>
        <v>0</v>
      </c>
      <c r="F302" s="116">
        <f t="shared" si="63"/>
        <v>0</v>
      </c>
      <c r="G302" s="117">
        <f t="shared" si="64"/>
        <v>0</v>
      </c>
      <c r="H302" s="116">
        <f t="shared" si="60"/>
        <v>0</v>
      </c>
      <c r="I302" s="116">
        <f t="shared" si="65"/>
        <v>0</v>
      </c>
      <c r="J302" s="119">
        <f t="shared" si="66"/>
        <v>0</v>
      </c>
      <c r="K302" s="119">
        <f t="shared" si="67"/>
        <v>0</v>
      </c>
      <c r="L302" s="110"/>
      <c r="M302" s="110"/>
      <c r="N302" s="110"/>
      <c r="O302" s="110"/>
      <c r="P302" s="110"/>
      <c r="Q302" s="110"/>
      <c r="R302" s="110"/>
    </row>
    <row r="303" spans="1:23" x14ac:dyDescent="0.3">
      <c r="A303" s="109">
        <v>278</v>
      </c>
      <c r="B303" s="58">
        <f t="shared" si="62"/>
        <v>0</v>
      </c>
      <c r="C303" s="116">
        <f t="shared" si="68"/>
        <v>0</v>
      </c>
      <c r="D303" s="117">
        <f t="shared" si="69"/>
        <v>0</v>
      </c>
      <c r="E303" s="116">
        <f t="shared" si="70"/>
        <v>0</v>
      </c>
      <c r="F303" s="116">
        <f t="shared" si="63"/>
        <v>0</v>
      </c>
      <c r="G303" s="117">
        <f t="shared" si="64"/>
        <v>0</v>
      </c>
      <c r="H303" s="116">
        <f t="shared" si="60"/>
        <v>0</v>
      </c>
      <c r="I303" s="116">
        <f t="shared" si="65"/>
        <v>0</v>
      </c>
      <c r="J303" s="119">
        <f t="shared" si="66"/>
        <v>0</v>
      </c>
      <c r="K303" s="119">
        <f t="shared" si="67"/>
        <v>0</v>
      </c>
      <c r="L303" s="110"/>
      <c r="M303" s="110"/>
      <c r="N303" s="110"/>
      <c r="O303" s="110"/>
      <c r="P303" s="110"/>
      <c r="Q303" s="110"/>
      <c r="R303" s="110"/>
    </row>
    <row r="304" spans="1:23" x14ac:dyDescent="0.3">
      <c r="A304" s="109">
        <v>279</v>
      </c>
      <c r="B304" s="58">
        <f t="shared" si="62"/>
        <v>0</v>
      </c>
      <c r="C304" s="116">
        <f t="shared" si="68"/>
        <v>0</v>
      </c>
      <c r="D304" s="117">
        <f t="shared" si="69"/>
        <v>0</v>
      </c>
      <c r="E304" s="116">
        <f t="shared" si="70"/>
        <v>0</v>
      </c>
      <c r="F304" s="116">
        <f t="shared" si="63"/>
        <v>0</v>
      </c>
      <c r="G304" s="117">
        <f t="shared" si="64"/>
        <v>0</v>
      </c>
      <c r="H304" s="116">
        <f t="shared" si="60"/>
        <v>0</v>
      </c>
      <c r="I304" s="116">
        <f t="shared" si="65"/>
        <v>0</v>
      </c>
      <c r="J304" s="119">
        <f t="shared" si="66"/>
        <v>0</v>
      </c>
      <c r="K304" s="119">
        <f t="shared" si="67"/>
        <v>0</v>
      </c>
      <c r="L304" s="110"/>
      <c r="M304" s="110"/>
      <c r="N304" s="110"/>
      <c r="O304" s="110"/>
      <c r="P304" s="110"/>
      <c r="Q304" s="110"/>
      <c r="R304" s="110"/>
    </row>
    <row r="305" spans="1:23" x14ac:dyDescent="0.3">
      <c r="A305" s="109">
        <v>280</v>
      </c>
      <c r="B305" s="58">
        <f t="shared" si="62"/>
        <v>0</v>
      </c>
      <c r="C305" s="116">
        <f t="shared" si="68"/>
        <v>0</v>
      </c>
      <c r="D305" s="117">
        <f t="shared" si="69"/>
        <v>0</v>
      </c>
      <c r="E305" s="116">
        <f t="shared" si="70"/>
        <v>0</v>
      </c>
      <c r="F305" s="116">
        <f t="shared" si="63"/>
        <v>0</v>
      </c>
      <c r="G305" s="117">
        <f t="shared" si="64"/>
        <v>0</v>
      </c>
      <c r="H305" s="116">
        <f t="shared" si="60"/>
        <v>0</v>
      </c>
      <c r="I305" s="116">
        <f t="shared" si="65"/>
        <v>0</v>
      </c>
      <c r="J305" s="119">
        <f t="shared" si="66"/>
        <v>0</v>
      </c>
      <c r="K305" s="119">
        <f t="shared" si="67"/>
        <v>0</v>
      </c>
      <c r="L305" s="110"/>
      <c r="M305" s="110"/>
      <c r="N305" s="110"/>
      <c r="O305" s="110"/>
      <c r="P305" s="110"/>
      <c r="Q305" s="110"/>
      <c r="R305" s="110"/>
    </row>
    <row r="306" spans="1:23" x14ac:dyDescent="0.3">
      <c r="A306" s="109">
        <v>281</v>
      </c>
      <c r="B306" s="58">
        <f t="shared" si="62"/>
        <v>0</v>
      </c>
      <c r="C306" s="116">
        <f t="shared" si="68"/>
        <v>0</v>
      </c>
      <c r="D306" s="117">
        <f t="shared" si="69"/>
        <v>0</v>
      </c>
      <c r="E306" s="116">
        <f t="shared" si="70"/>
        <v>0</v>
      </c>
      <c r="F306" s="116">
        <f t="shared" si="63"/>
        <v>0</v>
      </c>
      <c r="G306" s="117">
        <f t="shared" si="64"/>
        <v>0</v>
      </c>
      <c r="H306" s="116">
        <f t="shared" si="60"/>
        <v>0</v>
      </c>
      <c r="I306" s="116">
        <f t="shared" si="65"/>
        <v>0</v>
      </c>
      <c r="J306" s="119">
        <f t="shared" si="66"/>
        <v>0</v>
      </c>
      <c r="K306" s="119">
        <f t="shared" si="67"/>
        <v>0</v>
      </c>
      <c r="L306" s="110"/>
      <c r="M306" s="110"/>
      <c r="N306" s="110"/>
      <c r="O306" s="110"/>
      <c r="P306" s="110"/>
      <c r="Q306" s="110"/>
      <c r="R306" s="110"/>
    </row>
    <row r="307" spans="1:23" x14ac:dyDescent="0.3">
      <c r="A307" s="109">
        <v>282</v>
      </c>
      <c r="B307" s="58">
        <f t="shared" si="62"/>
        <v>0</v>
      </c>
      <c r="C307" s="116">
        <f t="shared" si="68"/>
        <v>0</v>
      </c>
      <c r="D307" s="117">
        <f t="shared" si="69"/>
        <v>0</v>
      </c>
      <c r="E307" s="116">
        <f t="shared" si="70"/>
        <v>0</v>
      </c>
      <c r="F307" s="116">
        <f t="shared" si="63"/>
        <v>0</v>
      </c>
      <c r="G307" s="117">
        <f t="shared" si="64"/>
        <v>0</v>
      </c>
      <c r="H307" s="116">
        <f t="shared" si="60"/>
        <v>0</v>
      </c>
      <c r="I307" s="116">
        <f t="shared" si="65"/>
        <v>0</v>
      </c>
      <c r="J307" s="119">
        <f t="shared" si="66"/>
        <v>0</v>
      </c>
      <c r="K307" s="119">
        <f t="shared" si="67"/>
        <v>0</v>
      </c>
      <c r="L307" s="110"/>
      <c r="M307" s="110"/>
      <c r="N307" s="110"/>
      <c r="O307" s="110"/>
      <c r="P307" s="110"/>
      <c r="Q307" s="110"/>
      <c r="R307" s="110"/>
    </row>
    <row r="308" spans="1:23" x14ac:dyDescent="0.3">
      <c r="A308" s="109">
        <v>283</v>
      </c>
      <c r="B308" s="58">
        <f t="shared" si="62"/>
        <v>0</v>
      </c>
      <c r="C308" s="116">
        <f t="shared" si="68"/>
        <v>0</v>
      </c>
      <c r="D308" s="117">
        <f t="shared" si="69"/>
        <v>0</v>
      </c>
      <c r="E308" s="116">
        <f t="shared" si="70"/>
        <v>0</v>
      </c>
      <c r="F308" s="116">
        <f t="shared" si="63"/>
        <v>0</v>
      </c>
      <c r="G308" s="117">
        <f t="shared" si="64"/>
        <v>0</v>
      </c>
      <c r="H308" s="116">
        <f t="shared" si="60"/>
        <v>0</v>
      </c>
      <c r="I308" s="116">
        <f t="shared" si="65"/>
        <v>0</v>
      </c>
      <c r="J308" s="119">
        <f t="shared" si="66"/>
        <v>0</v>
      </c>
      <c r="K308" s="119">
        <f t="shared" si="67"/>
        <v>0</v>
      </c>
      <c r="L308" s="110"/>
      <c r="M308" s="110"/>
      <c r="N308" s="110"/>
      <c r="O308" s="110"/>
      <c r="P308" s="110"/>
      <c r="Q308" s="110"/>
      <c r="R308" s="110"/>
    </row>
    <row r="309" spans="1:23" x14ac:dyDescent="0.3">
      <c r="A309" s="109">
        <v>284</v>
      </c>
      <c r="B309" s="58">
        <f t="shared" si="62"/>
        <v>0</v>
      </c>
      <c r="C309" s="116">
        <f t="shared" si="68"/>
        <v>0</v>
      </c>
      <c r="D309" s="117">
        <f t="shared" si="69"/>
        <v>0</v>
      </c>
      <c r="E309" s="116">
        <f t="shared" si="70"/>
        <v>0</v>
      </c>
      <c r="F309" s="116">
        <f t="shared" si="63"/>
        <v>0</v>
      </c>
      <c r="G309" s="117">
        <f t="shared" si="64"/>
        <v>0</v>
      </c>
      <c r="H309" s="116">
        <f t="shared" si="60"/>
        <v>0</v>
      </c>
      <c r="I309" s="116">
        <f t="shared" si="65"/>
        <v>0</v>
      </c>
      <c r="J309" s="119">
        <f t="shared" si="66"/>
        <v>0</v>
      </c>
      <c r="K309" s="119">
        <f t="shared" si="67"/>
        <v>0</v>
      </c>
      <c r="L309" s="110"/>
      <c r="M309" s="110"/>
      <c r="N309" s="110"/>
      <c r="O309" s="110"/>
      <c r="P309" s="110"/>
      <c r="Q309" s="110"/>
      <c r="R309" s="110"/>
    </row>
    <row r="310" spans="1:23" x14ac:dyDescent="0.3">
      <c r="A310" s="109">
        <v>285</v>
      </c>
      <c r="B310" s="58">
        <f t="shared" si="62"/>
        <v>0</v>
      </c>
      <c r="C310" s="116">
        <f t="shared" si="68"/>
        <v>0</v>
      </c>
      <c r="D310" s="117">
        <f t="shared" si="69"/>
        <v>0</v>
      </c>
      <c r="E310" s="116">
        <f t="shared" si="70"/>
        <v>0</v>
      </c>
      <c r="F310" s="116">
        <f t="shared" si="63"/>
        <v>0</v>
      </c>
      <c r="G310" s="117">
        <f t="shared" si="64"/>
        <v>0</v>
      </c>
      <c r="H310" s="116">
        <f t="shared" si="60"/>
        <v>0</v>
      </c>
      <c r="I310" s="116">
        <f t="shared" si="65"/>
        <v>0</v>
      </c>
      <c r="J310" s="119">
        <f t="shared" si="66"/>
        <v>0</v>
      </c>
      <c r="K310" s="119">
        <f t="shared" si="67"/>
        <v>0</v>
      </c>
      <c r="L310" s="110"/>
      <c r="M310" s="110"/>
      <c r="N310" s="110"/>
      <c r="O310" s="110"/>
      <c r="P310" s="110"/>
      <c r="Q310" s="110"/>
      <c r="R310" s="110"/>
    </row>
    <row r="311" spans="1:23" x14ac:dyDescent="0.3">
      <c r="A311" s="109">
        <v>286</v>
      </c>
      <c r="B311" s="58">
        <f t="shared" si="62"/>
        <v>0</v>
      </c>
      <c r="C311" s="116">
        <f t="shared" si="68"/>
        <v>0</v>
      </c>
      <c r="D311" s="117">
        <f t="shared" si="69"/>
        <v>0</v>
      </c>
      <c r="E311" s="116">
        <f t="shared" si="70"/>
        <v>0</v>
      </c>
      <c r="F311" s="116">
        <f t="shared" si="63"/>
        <v>0</v>
      </c>
      <c r="G311" s="117">
        <f t="shared" si="64"/>
        <v>0</v>
      </c>
      <c r="H311" s="116">
        <f t="shared" si="60"/>
        <v>0</v>
      </c>
      <c r="I311" s="116">
        <f t="shared" si="65"/>
        <v>0</v>
      </c>
      <c r="J311" s="119">
        <f t="shared" si="66"/>
        <v>0</v>
      </c>
      <c r="K311" s="119">
        <f t="shared" si="67"/>
        <v>0</v>
      </c>
      <c r="L311" s="110"/>
      <c r="M311" s="110"/>
      <c r="N311" s="110"/>
      <c r="O311" s="110"/>
      <c r="P311" s="110"/>
      <c r="Q311" s="110"/>
      <c r="R311" s="110"/>
    </row>
    <row r="312" spans="1:23" x14ac:dyDescent="0.3">
      <c r="A312" s="109">
        <v>287</v>
      </c>
      <c r="B312" s="58">
        <f t="shared" si="62"/>
        <v>0</v>
      </c>
      <c r="C312" s="116">
        <f t="shared" si="68"/>
        <v>0</v>
      </c>
      <c r="D312" s="117">
        <f t="shared" si="69"/>
        <v>0</v>
      </c>
      <c r="E312" s="116">
        <f t="shared" si="70"/>
        <v>0</v>
      </c>
      <c r="F312" s="116">
        <f t="shared" si="63"/>
        <v>0</v>
      </c>
      <c r="G312" s="117">
        <f t="shared" si="64"/>
        <v>0</v>
      </c>
      <c r="H312" s="116">
        <f t="shared" si="60"/>
        <v>0</v>
      </c>
      <c r="I312" s="116">
        <f t="shared" si="65"/>
        <v>0</v>
      </c>
      <c r="J312" s="119">
        <f t="shared" si="66"/>
        <v>0</v>
      </c>
      <c r="K312" s="119">
        <f t="shared" si="67"/>
        <v>0</v>
      </c>
      <c r="L312" s="110"/>
      <c r="M312" s="110"/>
      <c r="N312" s="110"/>
      <c r="O312" s="110"/>
      <c r="P312" s="110"/>
      <c r="Q312" s="110"/>
      <c r="R312" s="110"/>
    </row>
    <row r="313" spans="1:23" x14ac:dyDescent="0.3">
      <c r="A313" s="109">
        <v>288</v>
      </c>
      <c r="B313" s="58">
        <f t="shared" si="62"/>
        <v>0</v>
      </c>
      <c r="C313" s="116">
        <f t="shared" si="68"/>
        <v>0</v>
      </c>
      <c r="D313" s="117">
        <f t="shared" si="69"/>
        <v>0</v>
      </c>
      <c r="E313" s="116">
        <f t="shared" si="70"/>
        <v>0</v>
      </c>
      <c r="F313" s="116">
        <f t="shared" si="63"/>
        <v>0</v>
      </c>
      <c r="G313" s="117">
        <f t="shared" si="64"/>
        <v>0</v>
      </c>
      <c r="H313" s="116">
        <f t="shared" si="60"/>
        <v>0</v>
      </c>
      <c r="I313" s="116">
        <f t="shared" si="65"/>
        <v>0</v>
      </c>
      <c r="J313" s="119">
        <f t="shared" si="66"/>
        <v>0</v>
      </c>
      <c r="K313" s="119">
        <f t="shared" si="67"/>
        <v>0</v>
      </c>
      <c r="L313" s="58">
        <f t="shared" ref="L313:Q313" si="73">SUM(C302:C313)</f>
        <v>0</v>
      </c>
      <c r="M313" s="58">
        <f t="shared" si="73"/>
        <v>0</v>
      </c>
      <c r="N313" s="58">
        <f t="shared" si="73"/>
        <v>0</v>
      </c>
      <c r="O313" s="58">
        <f t="shared" si="73"/>
        <v>0</v>
      </c>
      <c r="P313" s="58">
        <f t="shared" si="73"/>
        <v>0</v>
      </c>
      <c r="Q313" s="58">
        <f t="shared" si="73"/>
        <v>0</v>
      </c>
      <c r="R313" s="58">
        <f>SUM(J302:J313)</f>
        <v>0</v>
      </c>
      <c r="S313" s="29">
        <f>SUM(K302:K313)</f>
        <v>0</v>
      </c>
      <c r="T313" s="29"/>
      <c r="U313" s="29"/>
      <c r="V313" s="29"/>
      <c r="W313" s="29"/>
    </row>
    <row r="314" spans="1:23" x14ac:dyDescent="0.3">
      <c r="A314" s="109">
        <v>289</v>
      </c>
      <c r="B314" s="58">
        <f t="shared" si="62"/>
        <v>0</v>
      </c>
      <c r="C314" s="116">
        <f t="shared" si="68"/>
        <v>0</v>
      </c>
      <c r="D314" s="117">
        <f t="shared" si="69"/>
        <v>0</v>
      </c>
      <c r="E314" s="116">
        <f t="shared" si="70"/>
        <v>0</v>
      </c>
      <c r="F314" s="116">
        <f t="shared" si="63"/>
        <v>0</v>
      </c>
      <c r="G314" s="117">
        <f t="shared" si="64"/>
        <v>0</v>
      </c>
      <c r="H314" s="116">
        <f t="shared" si="60"/>
        <v>0</v>
      </c>
      <c r="I314" s="116">
        <f t="shared" si="65"/>
        <v>0</v>
      </c>
      <c r="J314" s="119">
        <f t="shared" si="66"/>
        <v>0</v>
      </c>
      <c r="K314" s="119">
        <f t="shared" si="67"/>
        <v>0</v>
      </c>
      <c r="L314" s="110"/>
      <c r="M314" s="110"/>
      <c r="N314" s="110"/>
      <c r="O314" s="110"/>
      <c r="P314" s="110"/>
      <c r="Q314" s="110"/>
      <c r="R314" s="110"/>
    </row>
    <row r="315" spans="1:23" x14ac:dyDescent="0.3">
      <c r="A315" s="109">
        <v>290</v>
      </c>
      <c r="B315" s="58">
        <f t="shared" si="62"/>
        <v>0</v>
      </c>
      <c r="C315" s="116">
        <f t="shared" si="68"/>
        <v>0</v>
      </c>
      <c r="D315" s="117">
        <f t="shared" si="69"/>
        <v>0</v>
      </c>
      <c r="E315" s="116">
        <f t="shared" si="70"/>
        <v>0</v>
      </c>
      <c r="F315" s="116">
        <f t="shared" si="63"/>
        <v>0</v>
      </c>
      <c r="G315" s="117">
        <f t="shared" si="64"/>
        <v>0</v>
      </c>
      <c r="H315" s="116">
        <f t="shared" si="60"/>
        <v>0</v>
      </c>
      <c r="I315" s="116">
        <f t="shared" si="65"/>
        <v>0</v>
      </c>
      <c r="J315" s="119">
        <f t="shared" si="66"/>
        <v>0</v>
      </c>
      <c r="K315" s="119">
        <f t="shared" si="67"/>
        <v>0</v>
      </c>
      <c r="L315" s="110"/>
      <c r="M315" s="110"/>
      <c r="N315" s="110"/>
      <c r="O315" s="110"/>
      <c r="P315" s="110"/>
      <c r="Q315" s="110"/>
      <c r="R315" s="110"/>
    </row>
    <row r="316" spans="1:23" x14ac:dyDescent="0.3">
      <c r="A316" s="109">
        <v>291</v>
      </c>
      <c r="B316" s="58">
        <f t="shared" si="62"/>
        <v>0</v>
      </c>
      <c r="C316" s="116">
        <f t="shared" si="68"/>
        <v>0</v>
      </c>
      <c r="D316" s="117">
        <f t="shared" si="69"/>
        <v>0</v>
      </c>
      <c r="E316" s="116">
        <f t="shared" si="70"/>
        <v>0</v>
      </c>
      <c r="F316" s="116">
        <f t="shared" si="63"/>
        <v>0</v>
      </c>
      <c r="G316" s="117">
        <f t="shared" si="64"/>
        <v>0</v>
      </c>
      <c r="H316" s="116">
        <f t="shared" si="60"/>
        <v>0</v>
      </c>
      <c r="I316" s="116">
        <f t="shared" si="65"/>
        <v>0</v>
      </c>
      <c r="J316" s="119">
        <f t="shared" si="66"/>
        <v>0</v>
      </c>
      <c r="K316" s="119">
        <f t="shared" si="67"/>
        <v>0</v>
      </c>
      <c r="L316" s="110"/>
      <c r="M316" s="110"/>
      <c r="N316" s="110"/>
      <c r="O316" s="110"/>
      <c r="P316" s="110"/>
      <c r="Q316" s="110"/>
      <c r="R316" s="110"/>
    </row>
    <row r="317" spans="1:23" x14ac:dyDescent="0.3">
      <c r="A317" s="109">
        <v>292</v>
      </c>
      <c r="B317" s="58">
        <f t="shared" si="62"/>
        <v>0</v>
      </c>
      <c r="C317" s="116">
        <f t="shared" si="68"/>
        <v>0</v>
      </c>
      <c r="D317" s="117">
        <f t="shared" si="69"/>
        <v>0</v>
      </c>
      <c r="E317" s="116">
        <f t="shared" si="70"/>
        <v>0</v>
      </c>
      <c r="F317" s="116">
        <f t="shared" si="63"/>
        <v>0</v>
      </c>
      <c r="G317" s="117">
        <f t="shared" si="64"/>
        <v>0</v>
      </c>
      <c r="H317" s="116">
        <f t="shared" si="60"/>
        <v>0</v>
      </c>
      <c r="I317" s="116">
        <f t="shared" si="65"/>
        <v>0</v>
      </c>
      <c r="J317" s="119">
        <f t="shared" si="66"/>
        <v>0</v>
      </c>
      <c r="K317" s="119">
        <f t="shared" si="67"/>
        <v>0</v>
      </c>
      <c r="L317" s="110"/>
      <c r="M317" s="110"/>
      <c r="N317" s="110"/>
      <c r="O317" s="110"/>
      <c r="P317" s="110"/>
      <c r="Q317" s="110"/>
      <c r="R317" s="110"/>
    </row>
    <row r="318" spans="1:23" x14ac:dyDescent="0.3">
      <c r="A318" s="109">
        <v>293</v>
      </c>
      <c r="B318" s="58">
        <f t="shared" si="62"/>
        <v>0</v>
      </c>
      <c r="C318" s="116">
        <f t="shared" si="68"/>
        <v>0</v>
      </c>
      <c r="D318" s="117">
        <f t="shared" si="69"/>
        <v>0</v>
      </c>
      <c r="E318" s="116">
        <f t="shared" si="70"/>
        <v>0</v>
      </c>
      <c r="F318" s="116">
        <f t="shared" si="63"/>
        <v>0</v>
      </c>
      <c r="G318" s="117">
        <f t="shared" si="64"/>
        <v>0</v>
      </c>
      <c r="H318" s="116">
        <f t="shared" si="60"/>
        <v>0</v>
      </c>
      <c r="I318" s="116">
        <f t="shared" si="65"/>
        <v>0</v>
      </c>
      <c r="J318" s="119">
        <f t="shared" si="66"/>
        <v>0</v>
      </c>
      <c r="K318" s="119">
        <f t="shared" si="67"/>
        <v>0</v>
      </c>
      <c r="L318" s="110"/>
      <c r="M318" s="110"/>
      <c r="N318" s="110"/>
      <c r="O318" s="110"/>
      <c r="P318" s="110"/>
      <c r="Q318" s="110"/>
      <c r="R318" s="110"/>
    </row>
    <row r="319" spans="1:23" x14ac:dyDescent="0.3">
      <c r="A319" s="109">
        <v>294</v>
      </c>
      <c r="B319" s="58">
        <f t="shared" si="62"/>
        <v>0</v>
      </c>
      <c r="C319" s="116">
        <f t="shared" si="68"/>
        <v>0</v>
      </c>
      <c r="D319" s="117">
        <f t="shared" si="69"/>
        <v>0</v>
      </c>
      <c r="E319" s="116">
        <f t="shared" si="70"/>
        <v>0</v>
      </c>
      <c r="F319" s="116">
        <f t="shared" si="63"/>
        <v>0</v>
      </c>
      <c r="G319" s="117">
        <f t="shared" si="64"/>
        <v>0</v>
      </c>
      <c r="H319" s="116">
        <f t="shared" si="60"/>
        <v>0</v>
      </c>
      <c r="I319" s="116">
        <f t="shared" si="65"/>
        <v>0</v>
      </c>
      <c r="J319" s="119">
        <f t="shared" si="66"/>
        <v>0</v>
      </c>
      <c r="K319" s="119">
        <f t="shared" si="67"/>
        <v>0</v>
      </c>
      <c r="L319" s="110"/>
      <c r="M319" s="110"/>
      <c r="N319" s="110"/>
      <c r="O319" s="110"/>
      <c r="P319" s="110"/>
      <c r="Q319" s="110"/>
      <c r="R319" s="110"/>
    </row>
    <row r="320" spans="1:23" x14ac:dyDescent="0.3">
      <c r="A320" s="109">
        <v>295</v>
      </c>
      <c r="B320" s="58">
        <f t="shared" si="62"/>
        <v>0</v>
      </c>
      <c r="C320" s="116">
        <f t="shared" si="68"/>
        <v>0</v>
      </c>
      <c r="D320" s="117">
        <f t="shared" si="69"/>
        <v>0</v>
      </c>
      <c r="E320" s="116">
        <f t="shared" si="70"/>
        <v>0</v>
      </c>
      <c r="F320" s="116">
        <f t="shared" si="63"/>
        <v>0</v>
      </c>
      <c r="G320" s="117">
        <f t="shared" si="64"/>
        <v>0</v>
      </c>
      <c r="H320" s="116">
        <f t="shared" si="60"/>
        <v>0</v>
      </c>
      <c r="I320" s="116">
        <f t="shared" si="65"/>
        <v>0</v>
      </c>
      <c r="J320" s="119">
        <f t="shared" si="66"/>
        <v>0</v>
      </c>
      <c r="K320" s="119">
        <f t="shared" si="67"/>
        <v>0</v>
      </c>
      <c r="L320" s="110"/>
      <c r="M320" s="110"/>
      <c r="N320" s="110"/>
      <c r="O320" s="110"/>
      <c r="P320" s="110"/>
      <c r="Q320" s="110"/>
      <c r="R320" s="110"/>
    </row>
    <row r="321" spans="1:23" x14ac:dyDescent="0.3">
      <c r="A321" s="109">
        <v>296</v>
      </c>
      <c r="B321" s="58">
        <f t="shared" si="62"/>
        <v>0</v>
      </c>
      <c r="C321" s="116">
        <f t="shared" si="68"/>
        <v>0</v>
      </c>
      <c r="D321" s="117">
        <f t="shared" si="69"/>
        <v>0</v>
      </c>
      <c r="E321" s="116">
        <f t="shared" si="70"/>
        <v>0</v>
      </c>
      <c r="F321" s="116">
        <f t="shared" si="63"/>
        <v>0</v>
      </c>
      <c r="G321" s="117">
        <f t="shared" si="64"/>
        <v>0</v>
      </c>
      <c r="H321" s="116">
        <f t="shared" si="60"/>
        <v>0</v>
      </c>
      <c r="I321" s="116">
        <f t="shared" si="65"/>
        <v>0</v>
      </c>
      <c r="J321" s="119">
        <f t="shared" si="66"/>
        <v>0</v>
      </c>
      <c r="K321" s="119">
        <f t="shared" si="67"/>
        <v>0</v>
      </c>
      <c r="L321" s="110"/>
      <c r="M321" s="110"/>
      <c r="N321" s="110"/>
      <c r="O321" s="110"/>
      <c r="P321" s="110"/>
      <c r="Q321" s="110"/>
      <c r="R321" s="110"/>
    </row>
    <row r="322" spans="1:23" x14ac:dyDescent="0.3">
      <c r="A322" s="109">
        <v>297</v>
      </c>
      <c r="B322" s="58">
        <f t="shared" si="62"/>
        <v>0</v>
      </c>
      <c r="C322" s="116">
        <f t="shared" si="68"/>
        <v>0</v>
      </c>
      <c r="D322" s="117">
        <f t="shared" si="69"/>
        <v>0</v>
      </c>
      <c r="E322" s="116">
        <f t="shared" si="70"/>
        <v>0</v>
      </c>
      <c r="F322" s="116">
        <f t="shared" si="63"/>
        <v>0</v>
      </c>
      <c r="G322" s="117">
        <f t="shared" si="64"/>
        <v>0</v>
      </c>
      <c r="H322" s="116">
        <f t="shared" si="60"/>
        <v>0</v>
      </c>
      <c r="I322" s="116">
        <f t="shared" si="65"/>
        <v>0</v>
      </c>
      <c r="J322" s="119">
        <f t="shared" si="66"/>
        <v>0</v>
      </c>
      <c r="K322" s="119">
        <f t="shared" si="67"/>
        <v>0</v>
      </c>
      <c r="L322" s="110"/>
      <c r="M322" s="110"/>
      <c r="N322" s="110"/>
      <c r="O322" s="110"/>
      <c r="P322" s="110"/>
      <c r="Q322" s="110"/>
      <c r="R322" s="110"/>
    </row>
    <row r="323" spans="1:23" x14ac:dyDescent="0.3">
      <c r="A323" s="109">
        <v>298</v>
      </c>
      <c r="B323" s="58">
        <f t="shared" si="62"/>
        <v>0</v>
      </c>
      <c r="C323" s="116">
        <f t="shared" si="68"/>
        <v>0</v>
      </c>
      <c r="D323" s="117">
        <f t="shared" si="69"/>
        <v>0</v>
      </c>
      <c r="E323" s="116">
        <f t="shared" si="70"/>
        <v>0</v>
      </c>
      <c r="F323" s="116">
        <f t="shared" si="63"/>
        <v>0</v>
      </c>
      <c r="G323" s="117">
        <f t="shared" si="64"/>
        <v>0</v>
      </c>
      <c r="H323" s="116">
        <f t="shared" si="60"/>
        <v>0</v>
      </c>
      <c r="I323" s="116">
        <f t="shared" si="65"/>
        <v>0</v>
      </c>
      <c r="J323" s="119">
        <f t="shared" si="66"/>
        <v>0</v>
      </c>
      <c r="K323" s="119">
        <f t="shared" si="67"/>
        <v>0</v>
      </c>
      <c r="L323" s="110"/>
      <c r="M323" s="110"/>
      <c r="N323" s="110"/>
      <c r="O323" s="110"/>
      <c r="P323" s="110"/>
      <c r="Q323" s="110"/>
      <c r="R323" s="110"/>
    </row>
    <row r="324" spans="1:23" x14ac:dyDescent="0.3">
      <c r="A324" s="109">
        <v>299</v>
      </c>
      <c r="B324" s="58">
        <f t="shared" si="62"/>
        <v>0</v>
      </c>
      <c r="C324" s="116">
        <f t="shared" si="68"/>
        <v>0</v>
      </c>
      <c r="D324" s="117">
        <f t="shared" si="69"/>
        <v>0</v>
      </c>
      <c r="E324" s="116">
        <f t="shared" si="70"/>
        <v>0</v>
      </c>
      <c r="F324" s="116">
        <f t="shared" si="63"/>
        <v>0</v>
      </c>
      <c r="G324" s="117">
        <f t="shared" si="64"/>
        <v>0</v>
      </c>
      <c r="H324" s="116">
        <f t="shared" si="60"/>
        <v>0</v>
      </c>
      <c r="I324" s="116">
        <f t="shared" si="65"/>
        <v>0</v>
      </c>
      <c r="J324" s="119">
        <f t="shared" si="66"/>
        <v>0</v>
      </c>
      <c r="K324" s="119">
        <f t="shared" si="67"/>
        <v>0</v>
      </c>
      <c r="L324" s="110"/>
      <c r="M324" s="110"/>
      <c r="N324" s="110"/>
      <c r="O324" s="110"/>
      <c r="P324" s="110"/>
      <c r="Q324" s="110"/>
      <c r="R324" s="110"/>
    </row>
    <row r="325" spans="1:23" x14ac:dyDescent="0.3">
      <c r="A325" s="109">
        <v>300</v>
      </c>
      <c r="B325" s="58">
        <f t="shared" si="62"/>
        <v>0</v>
      </c>
      <c r="C325" s="116">
        <f t="shared" si="68"/>
        <v>0</v>
      </c>
      <c r="D325" s="117">
        <f t="shared" si="69"/>
        <v>0</v>
      </c>
      <c r="E325" s="116">
        <f t="shared" si="70"/>
        <v>0</v>
      </c>
      <c r="F325" s="116">
        <f t="shared" si="63"/>
        <v>0</v>
      </c>
      <c r="G325" s="117">
        <f t="shared" si="64"/>
        <v>0</v>
      </c>
      <c r="H325" s="116">
        <f t="shared" si="60"/>
        <v>0</v>
      </c>
      <c r="I325" s="116">
        <f t="shared" si="65"/>
        <v>0</v>
      </c>
      <c r="J325" s="119">
        <f t="shared" si="66"/>
        <v>0</v>
      </c>
      <c r="K325" s="119">
        <f t="shared" si="67"/>
        <v>0</v>
      </c>
      <c r="L325" s="58">
        <f t="shared" ref="L325:Q325" si="74">SUM(C314:C325)</f>
        <v>0</v>
      </c>
      <c r="M325" s="58">
        <f t="shared" si="74"/>
        <v>0</v>
      </c>
      <c r="N325" s="58">
        <f t="shared" si="74"/>
        <v>0</v>
      </c>
      <c r="O325" s="58">
        <f t="shared" si="74"/>
        <v>0</v>
      </c>
      <c r="P325" s="58">
        <f t="shared" si="74"/>
        <v>0</v>
      </c>
      <c r="Q325" s="58">
        <f t="shared" si="74"/>
        <v>0</v>
      </c>
      <c r="R325" s="58">
        <f>SUM(J314:J325)</f>
        <v>0</v>
      </c>
      <c r="S325" s="29">
        <f>SUM(K314:K325)</f>
        <v>0</v>
      </c>
      <c r="T325" s="29"/>
      <c r="U325" s="29"/>
      <c r="V325" s="29"/>
      <c r="W325" s="29"/>
    </row>
    <row r="326" spans="1:23" x14ac:dyDescent="0.3">
      <c r="A326" s="14" t="s">
        <v>10</v>
      </c>
      <c r="B326" s="15"/>
      <c r="C326" s="275">
        <f t="shared" si="68"/>
        <v>10000000</v>
      </c>
      <c r="D326" s="15">
        <f>SUM(D26:D325)</f>
        <v>3310324</v>
      </c>
      <c r="E326" s="15">
        <f t="shared" ref="E326:K326" si="75">SUM(E26:E325)</f>
        <v>9546960</v>
      </c>
      <c r="F326" s="15">
        <f t="shared" si="75"/>
        <v>13310324</v>
      </c>
      <c r="G326" s="15">
        <f t="shared" si="75"/>
        <v>0</v>
      </c>
      <c r="H326" s="15">
        <f t="shared" si="75"/>
        <v>13310324</v>
      </c>
      <c r="I326" s="15">
        <f t="shared" si="75"/>
        <v>13388324</v>
      </c>
      <c r="J326" s="120">
        <f t="shared" si="75"/>
        <v>14538306</v>
      </c>
      <c r="K326" s="120">
        <f t="shared" si="75"/>
        <v>15828428</v>
      </c>
      <c r="L326" s="7"/>
      <c r="M326" s="7"/>
      <c r="N326" s="7"/>
      <c r="O326" s="7"/>
      <c r="P326" s="7"/>
      <c r="Q326" s="7"/>
      <c r="R326" s="7"/>
    </row>
  </sheetData>
  <sheetProtection algorithmName="SHA-512" hashValue="6NXBjDrOSscluHY6XlXFRQaqtwbbOXznG6CoZDWc9iM9+vfUlGA0xxFK/03yFb8O+cFDXotG5fCFSdDqJJRL5g==" saltValue="tG34GUKz5AaraG31ED8i6Q==" spinCount="100000" sheet="1" objects="1" scenarios="1"/>
  <dataConsolidate/>
  <mergeCells count="155">
    <mergeCell ref="A1:B1"/>
    <mergeCell ref="A2:B2"/>
    <mergeCell ref="A3:B3"/>
    <mergeCell ref="A4:B4"/>
    <mergeCell ref="A9:B9"/>
    <mergeCell ref="H5:I12"/>
    <mergeCell ref="A5:B5"/>
    <mergeCell ref="D2:E2"/>
    <mergeCell ref="A7:B7"/>
    <mergeCell ref="A8:B8"/>
    <mergeCell ref="C1:H1"/>
    <mergeCell ref="E11:F11"/>
    <mergeCell ref="A18:B18"/>
    <mergeCell ref="A11:B11"/>
    <mergeCell ref="E6:F6"/>
    <mergeCell ref="J22:K22"/>
    <mergeCell ref="A16:B16"/>
    <mergeCell ref="A17:B17"/>
    <mergeCell ref="A21:B21"/>
    <mergeCell ref="I21:J21"/>
    <mergeCell ref="K21:L21"/>
    <mergeCell ref="E21:F21"/>
    <mergeCell ref="G21:H21"/>
    <mergeCell ref="A22:B22"/>
    <mergeCell ref="A6:B6"/>
    <mergeCell ref="A15:B15"/>
    <mergeCell ref="A13:B13"/>
    <mergeCell ref="A12:B12"/>
    <mergeCell ref="A10:B10"/>
    <mergeCell ref="J10:K11"/>
    <mergeCell ref="A14:B14"/>
    <mergeCell ref="A19:B19"/>
    <mergeCell ref="A20:B20"/>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CC21:CD21"/>
    <mergeCell ref="CE21:CF21"/>
    <mergeCell ref="CG21:CH21"/>
    <mergeCell ref="CI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DI21:DJ21"/>
    <mergeCell ref="DK21:DL21"/>
    <mergeCell ref="DM21:DN21"/>
    <mergeCell ref="DO21:DP21"/>
    <mergeCell ref="DQ21:DR21"/>
    <mergeCell ref="DS21:DT21"/>
    <mergeCell ref="DU21:DV21"/>
    <mergeCell ref="DW21:DX21"/>
    <mergeCell ref="DY21:DZ21"/>
    <mergeCell ref="EA21:EB21"/>
    <mergeCell ref="EC21:ED21"/>
    <mergeCell ref="EE21:EF21"/>
    <mergeCell ref="EG21:EH21"/>
    <mergeCell ref="EI21:EJ21"/>
    <mergeCell ref="EK21:EL21"/>
    <mergeCell ref="EM21:EN21"/>
    <mergeCell ref="EO21:EP21"/>
    <mergeCell ref="EQ21:ER21"/>
    <mergeCell ref="ES21:ET21"/>
    <mergeCell ref="EU21:EV21"/>
    <mergeCell ref="EW21:EX21"/>
    <mergeCell ref="EY21:EZ21"/>
    <mergeCell ref="FW21:FX21"/>
    <mergeCell ref="FY21:FZ21"/>
    <mergeCell ref="GA21:GB21"/>
    <mergeCell ref="GC21:GD21"/>
    <mergeCell ref="GE21:GF21"/>
    <mergeCell ref="GG21:GH21"/>
    <mergeCell ref="GI21:GJ21"/>
    <mergeCell ref="FA21:FB21"/>
    <mergeCell ref="FC21:FD21"/>
    <mergeCell ref="FE21:FF21"/>
    <mergeCell ref="FG21:FH21"/>
    <mergeCell ref="FI21:FJ21"/>
    <mergeCell ref="FK21:FL21"/>
    <mergeCell ref="FM21:FN21"/>
    <mergeCell ref="FO21:FP21"/>
    <mergeCell ref="FQ21:FR21"/>
    <mergeCell ref="FS21:FT21"/>
    <mergeCell ref="FU21:FV21"/>
    <mergeCell ref="HC21:HD21"/>
    <mergeCell ref="HE21:HF21"/>
    <mergeCell ref="HM21:HN21"/>
    <mergeCell ref="HG21:HH21"/>
    <mergeCell ref="HI21:HJ21"/>
    <mergeCell ref="HK21:HL21"/>
    <mergeCell ref="HO21:HP21"/>
    <mergeCell ref="HQ21:HR21"/>
    <mergeCell ref="HS21:HT21"/>
    <mergeCell ref="GK21:GL21"/>
    <mergeCell ref="GM21:GN21"/>
    <mergeCell ref="GO21:GP21"/>
    <mergeCell ref="GQ21:GR21"/>
    <mergeCell ref="GS21:GT21"/>
    <mergeCell ref="GU21:GV21"/>
    <mergeCell ref="GW21:GX21"/>
    <mergeCell ref="GY21:GZ21"/>
    <mergeCell ref="HA21:HB21"/>
    <mergeCell ref="IU21:IV21"/>
    <mergeCell ref="IC21:ID21"/>
    <mergeCell ref="IE21:IF21"/>
    <mergeCell ref="IG21:IH21"/>
    <mergeCell ref="II21:IJ21"/>
    <mergeCell ref="IM21:IN21"/>
    <mergeCell ref="HU21:HV21"/>
    <mergeCell ref="HW21:HX21"/>
    <mergeCell ref="IO21:IP21"/>
    <mergeCell ref="HY21:HZ21"/>
    <mergeCell ref="IA21:IB21"/>
    <mergeCell ref="IQ21:IR21"/>
    <mergeCell ref="IS21:IT21"/>
    <mergeCell ref="IK21:IL21"/>
  </mergeCells>
  <phoneticPr fontId="0" type="noConversion"/>
  <dataValidations xWindow="247" yWindow="263" count="4">
    <dataValidation type="list" allowBlank="1" prompt="_x000a_" sqref="G6" xr:uid="{00000000-0002-0000-0000-000000000000}">
      <formula1>$AB$2:$AB$6</formula1>
    </dataValidation>
    <dataValidation allowBlank="1" showErrorMessage="1" sqref="C9" xr:uid="{00000000-0002-0000-0000-000001000000}"/>
    <dataValidation type="whole" allowBlank="1" showInputMessage="1" showErrorMessage="1" error="A futamidőnek 60 hónap és 300 hónap közé kell esnie!" promptTitle="FIGYELEM!" prompt="Min. futamidő: 60 hónap._x000a__x000a_Kamattámogatás 25 évig (300 hónapig) vehető igénybe!_x000a__x000a_Max. futamidő:_x000a_300 hó" sqref="C3" xr:uid="{00000000-0002-0000-0000-000002000000}">
      <formula1>60</formula1>
      <formula2>300</formula2>
    </dataValidation>
    <dataValidation allowBlank="1" showInputMessage="1" showErrorMessage="1" promptTitle="Figyelem!" sqref="C4" xr:uid="{00000000-0002-0000-0000-000003000000}"/>
  </dataValidations>
  <pageMargins left="0.19685039370078741" right="0.19685039370078741" top="0.98425196850393704" bottom="0.98425196850393704" header="0.51181102362204722" footer="0.51181102362204722"/>
  <pageSetup paperSize="9" scale="85" orientation="landscape" r:id="rId1"/>
  <headerFooter alignWithMargins="0"/>
  <rowBreaks count="1" manualBreakCount="1">
    <brk id="37" max="8" man="1"/>
  </rowBreaks>
  <drawing r:id="rId2"/>
  <extLst>
    <ext xmlns:x14="http://schemas.microsoft.com/office/spreadsheetml/2009/9/main" uri="{CCE6A557-97BC-4b89-ADB6-D9C93CAAB3DF}">
      <x14:dataValidations xmlns:xm="http://schemas.microsoft.com/office/excel/2006/main" xWindow="247" yWindow="263" count="2">
        <x14:dataValidation type="list" allowBlank="1" showInputMessage="1" showErrorMessage="1" xr:uid="{00000000-0002-0000-0000-000004000000}">
          <x14:formula1>
            <xm:f>Munka1!$A$11:$A$14</xm:f>
          </x14:formula1>
          <xm:sqref>C1:H1</xm:sqref>
        </x14:dataValidation>
        <x14:dataValidation type="decimal" allowBlank="1" showInputMessage="1" showErrorMessage="1" errorTitle="Hiba!" error="A max. kölcsönösszeg:_x000a_- 2 gyermek esetén 10 M Ft_x000a_- 3 gyermek esetén 15 M Ft" promptTitle="Figyelem!" prompt="Minimum kölcsönösszeg: 4 M Ft_x000a_A max. kölcsönösszeg:_x000a_- 2 gyermek esetén 10 M Ft_x000a_- 3 gyermek esetén 15 M Ft" xr:uid="{00000000-0002-0000-0000-000005000000}">
          <x14:formula1>
            <xm:f>1000000</xm:f>
          </x14:formula1>
          <x14:formula2>
            <xm:f>Munka1!A17</xm:f>
          </x14:formula2>
          <xm:sqref>C2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7"/>
  <dimension ref="A1:G142"/>
  <sheetViews>
    <sheetView zoomScaleNormal="100" workbookViewId="0">
      <pane xSplit="2" ySplit="3" topLeftCell="C4" activePane="bottomRight" state="frozen"/>
      <selection pane="topRight" activeCell="C1" sqref="C1"/>
      <selection pane="bottomLeft" activeCell="A4" sqref="A4"/>
      <selection pane="bottomRight" activeCell="C8" sqref="C8"/>
    </sheetView>
  </sheetViews>
  <sheetFormatPr defaultColWidth="9.109375" defaultRowHeight="13.2" x14ac:dyDescent="0.25"/>
  <cols>
    <col min="1" max="1" width="29.109375" style="130" customWidth="1"/>
    <col min="2" max="2" width="10.6640625" style="130" bestFit="1" customWidth="1"/>
    <col min="3" max="3" width="30.109375" style="131" bestFit="1" customWidth="1"/>
    <col min="4" max="4" width="30.109375" style="131" customWidth="1"/>
    <col min="5" max="5" width="8.5546875" style="131" customWidth="1"/>
    <col min="6" max="6" width="12.109375" style="131" customWidth="1"/>
    <col min="7" max="7" width="19" style="131" customWidth="1"/>
    <col min="8" max="8" width="14.44140625" style="131" bestFit="1" customWidth="1"/>
    <col min="9" max="16384" width="9.109375" style="131"/>
  </cols>
  <sheetData>
    <row r="1" spans="1:7" ht="50.25" customHeight="1" x14ac:dyDescent="0.25">
      <c r="A1" s="145"/>
      <c r="B1" s="145"/>
      <c r="C1" s="136" t="s">
        <v>117</v>
      </c>
      <c r="D1" s="580" t="s">
        <v>118</v>
      </c>
      <c r="E1" s="580"/>
      <c r="F1" s="580"/>
      <c r="G1" s="137" t="s">
        <v>120</v>
      </c>
    </row>
    <row r="2" spans="1:7" ht="28.5" customHeight="1" x14ac:dyDescent="0.25">
      <c r="A2" s="145"/>
      <c r="B2" s="145"/>
      <c r="C2" s="136"/>
      <c r="D2" s="136" t="s">
        <v>121</v>
      </c>
      <c r="E2" s="136" t="s">
        <v>94</v>
      </c>
      <c r="F2" s="136" t="s">
        <v>119</v>
      </c>
      <c r="G2" s="137"/>
    </row>
    <row r="3" spans="1:7" ht="24" x14ac:dyDescent="0.25">
      <c r="A3" s="147" t="s">
        <v>124</v>
      </c>
      <c r="B3" s="146" t="s">
        <v>123</v>
      </c>
      <c r="C3" s="141">
        <v>0.03</v>
      </c>
      <c r="D3" s="139">
        <v>3</v>
      </c>
      <c r="E3" s="139">
        <v>0</v>
      </c>
      <c r="F3" s="144">
        <f>(D3+E3)%</f>
        <v>0.03</v>
      </c>
      <c r="G3" s="140">
        <f>AVERAGE(C3,F3)</f>
        <v>0.03</v>
      </c>
    </row>
    <row r="4" spans="1:7" x14ac:dyDescent="0.25">
      <c r="G4" s="132"/>
    </row>
    <row r="5" spans="1:7" x14ac:dyDescent="0.25">
      <c r="A5" s="133" t="s">
        <v>95</v>
      </c>
      <c r="B5" s="133"/>
      <c r="C5" s="142">
        <v>379836</v>
      </c>
      <c r="D5" s="321" t="s">
        <v>309</v>
      </c>
      <c r="E5" s="134"/>
    </row>
    <row r="6" spans="1:7" ht="26.4" x14ac:dyDescent="0.25">
      <c r="A6" s="133" t="s">
        <v>96</v>
      </c>
      <c r="B6" s="133"/>
      <c r="C6" s="143">
        <v>2023</v>
      </c>
    </row>
    <row r="8" spans="1:7" x14ac:dyDescent="0.25">
      <c r="A8" s="300" t="s">
        <v>254</v>
      </c>
      <c r="B8" s="320">
        <v>45413</v>
      </c>
      <c r="C8" s="307">
        <v>5.89</v>
      </c>
      <c r="D8" s="319"/>
    </row>
    <row r="9" spans="1:7" x14ac:dyDescent="0.25">
      <c r="A9" s="130" t="s">
        <v>122</v>
      </c>
      <c r="B9" s="320">
        <v>45413</v>
      </c>
      <c r="C9" s="301">
        <v>7.29</v>
      </c>
    </row>
    <row r="10" spans="1:7" x14ac:dyDescent="0.25">
      <c r="C10" s="135"/>
    </row>
    <row r="11" spans="1:7" x14ac:dyDescent="0.25">
      <c r="C11" s="135"/>
    </row>
    <row r="12" spans="1:7" x14ac:dyDescent="0.25">
      <c r="C12" s="135"/>
    </row>
    <row r="13" spans="1:7" x14ac:dyDescent="0.25">
      <c r="C13" s="135"/>
    </row>
    <row r="14" spans="1:7" x14ac:dyDescent="0.25">
      <c r="C14" s="135"/>
    </row>
    <row r="15" spans="1:7" x14ac:dyDescent="0.25">
      <c r="C15" s="135"/>
    </row>
    <row r="16" spans="1:7" ht="70.5" customHeight="1" x14ac:dyDescent="0.25">
      <c r="C16" s="135"/>
    </row>
    <row r="17" spans="3:3" x14ac:dyDescent="0.25">
      <c r="C17" s="135"/>
    </row>
    <row r="18" spans="3:3" x14ac:dyDescent="0.25">
      <c r="C18" s="135"/>
    </row>
    <row r="19" spans="3:3" x14ac:dyDescent="0.25">
      <c r="C19" s="135"/>
    </row>
    <row r="20" spans="3:3" x14ac:dyDescent="0.25">
      <c r="C20" s="135"/>
    </row>
    <row r="21" spans="3:3" x14ac:dyDescent="0.25">
      <c r="C21" s="135"/>
    </row>
    <row r="22" spans="3:3" x14ac:dyDescent="0.25">
      <c r="C22" s="135"/>
    </row>
    <row r="23" spans="3:3" x14ac:dyDescent="0.25">
      <c r="C23" s="135"/>
    </row>
    <row r="24" spans="3:3" x14ac:dyDescent="0.25">
      <c r="C24" s="135"/>
    </row>
    <row r="25" spans="3:3" x14ac:dyDescent="0.25">
      <c r="C25" s="135"/>
    </row>
    <row r="26" spans="3:3" x14ac:dyDescent="0.25">
      <c r="C26" s="135"/>
    </row>
    <row r="27" spans="3:3" x14ac:dyDescent="0.25">
      <c r="C27" s="135"/>
    </row>
    <row r="28" spans="3:3" x14ac:dyDescent="0.25">
      <c r="C28" s="135"/>
    </row>
    <row r="29" spans="3:3" x14ac:dyDescent="0.25">
      <c r="C29" s="135"/>
    </row>
    <row r="30" spans="3:3" x14ac:dyDescent="0.25">
      <c r="C30" s="135"/>
    </row>
    <row r="31" spans="3:3" x14ac:dyDescent="0.25">
      <c r="C31" s="135"/>
    </row>
    <row r="32" spans="3:3" x14ac:dyDescent="0.25">
      <c r="C32" s="135"/>
    </row>
    <row r="33" spans="3:3" x14ac:dyDescent="0.25">
      <c r="C33" s="135"/>
    </row>
    <row r="34" spans="3:3" x14ac:dyDescent="0.25">
      <c r="C34" s="135"/>
    </row>
    <row r="35" spans="3:3" x14ac:dyDescent="0.25">
      <c r="C35" s="135"/>
    </row>
    <row r="36" spans="3:3" x14ac:dyDescent="0.25">
      <c r="C36" s="135"/>
    </row>
    <row r="37" spans="3:3" x14ac:dyDescent="0.25">
      <c r="C37" s="135"/>
    </row>
    <row r="38" spans="3:3" x14ac:dyDescent="0.25">
      <c r="C38" s="135"/>
    </row>
    <row r="39" spans="3:3" x14ac:dyDescent="0.25">
      <c r="C39" s="135"/>
    </row>
    <row r="40" spans="3:3" x14ac:dyDescent="0.25">
      <c r="C40" s="135"/>
    </row>
    <row r="41" spans="3:3" x14ac:dyDescent="0.25">
      <c r="C41" s="135"/>
    </row>
    <row r="42" spans="3:3" x14ac:dyDescent="0.25">
      <c r="C42" s="135"/>
    </row>
    <row r="43" spans="3:3" x14ac:dyDescent="0.25">
      <c r="C43" s="135"/>
    </row>
    <row r="44" spans="3:3" x14ac:dyDescent="0.25">
      <c r="C44" s="135"/>
    </row>
    <row r="45" spans="3:3" x14ac:dyDescent="0.25">
      <c r="C45" s="135"/>
    </row>
    <row r="46" spans="3:3" x14ac:dyDescent="0.25">
      <c r="C46" s="135"/>
    </row>
    <row r="48" spans="3:3" x14ac:dyDescent="0.25">
      <c r="C48" s="135"/>
    </row>
    <row r="49" spans="3:3" x14ac:dyDescent="0.25">
      <c r="C49" s="135"/>
    </row>
    <row r="50" spans="3:3" x14ac:dyDescent="0.25">
      <c r="C50" s="135"/>
    </row>
    <row r="51" spans="3:3" x14ac:dyDescent="0.25">
      <c r="C51" s="135"/>
    </row>
    <row r="52" spans="3:3" x14ac:dyDescent="0.25">
      <c r="C52" s="135"/>
    </row>
    <row r="53" spans="3:3" x14ac:dyDescent="0.25">
      <c r="C53" s="135"/>
    </row>
    <row r="54" spans="3:3" x14ac:dyDescent="0.25">
      <c r="C54" s="135"/>
    </row>
    <row r="55" spans="3:3" x14ac:dyDescent="0.25">
      <c r="C55" s="135"/>
    </row>
    <row r="56" spans="3:3" x14ac:dyDescent="0.25">
      <c r="C56" s="135"/>
    </row>
    <row r="57" spans="3:3" x14ac:dyDescent="0.25">
      <c r="C57" s="135"/>
    </row>
    <row r="58" spans="3:3" x14ac:dyDescent="0.25">
      <c r="C58" s="135"/>
    </row>
    <row r="60" spans="3:3" x14ac:dyDescent="0.25">
      <c r="C60" s="135"/>
    </row>
    <row r="61" spans="3:3" x14ac:dyDescent="0.25">
      <c r="C61" s="135"/>
    </row>
    <row r="62" spans="3:3" x14ac:dyDescent="0.25">
      <c r="C62" s="135"/>
    </row>
    <row r="63" spans="3:3" x14ac:dyDescent="0.25">
      <c r="C63" s="135"/>
    </row>
    <row r="64" spans="3:3" x14ac:dyDescent="0.25">
      <c r="C64" s="135"/>
    </row>
    <row r="65" spans="3:3" x14ac:dyDescent="0.25">
      <c r="C65" s="135"/>
    </row>
    <row r="66" spans="3:3" x14ac:dyDescent="0.25">
      <c r="C66" s="135"/>
    </row>
    <row r="67" spans="3:3" x14ac:dyDescent="0.25">
      <c r="C67" s="135"/>
    </row>
    <row r="68" spans="3:3" x14ac:dyDescent="0.25">
      <c r="C68" s="135"/>
    </row>
    <row r="69" spans="3:3" x14ac:dyDescent="0.25">
      <c r="C69" s="135"/>
    </row>
    <row r="70" spans="3:3" x14ac:dyDescent="0.25">
      <c r="C70" s="135"/>
    </row>
    <row r="71" spans="3:3" x14ac:dyDescent="0.25">
      <c r="C71" s="135"/>
    </row>
    <row r="72" spans="3:3" x14ac:dyDescent="0.25">
      <c r="C72" s="135"/>
    </row>
    <row r="73" spans="3:3" x14ac:dyDescent="0.25">
      <c r="C73" s="135"/>
    </row>
    <row r="74" spans="3:3" x14ac:dyDescent="0.25">
      <c r="C74" s="135"/>
    </row>
    <row r="75" spans="3:3" x14ac:dyDescent="0.25">
      <c r="C75" s="135"/>
    </row>
    <row r="76" spans="3:3" x14ac:dyDescent="0.25">
      <c r="C76" s="135"/>
    </row>
    <row r="77" spans="3:3" x14ac:dyDescent="0.25">
      <c r="C77" s="135"/>
    </row>
    <row r="78" spans="3:3" x14ac:dyDescent="0.25">
      <c r="C78" s="135"/>
    </row>
    <row r="79" spans="3:3" x14ac:dyDescent="0.25">
      <c r="C79" s="135"/>
    </row>
    <row r="80" spans="3:3" x14ac:dyDescent="0.25">
      <c r="C80" s="135"/>
    </row>
    <row r="81" spans="3:3" x14ac:dyDescent="0.25">
      <c r="C81" s="135"/>
    </row>
    <row r="82" spans="3:3" x14ac:dyDescent="0.25">
      <c r="C82" s="135"/>
    </row>
    <row r="84" spans="3:3" x14ac:dyDescent="0.25">
      <c r="C84" s="135"/>
    </row>
    <row r="85" spans="3:3" x14ac:dyDescent="0.25">
      <c r="C85" s="135"/>
    </row>
    <row r="86" spans="3:3" x14ac:dyDescent="0.25">
      <c r="C86" s="135"/>
    </row>
    <row r="87" spans="3:3" x14ac:dyDescent="0.25">
      <c r="C87" s="135"/>
    </row>
    <row r="88" spans="3:3" x14ac:dyDescent="0.25">
      <c r="C88" s="135"/>
    </row>
    <row r="89" spans="3:3" x14ac:dyDescent="0.25">
      <c r="C89" s="135"/>
    </row>
    <row r="90" spans="3:3" x14ac:dyDescent="0.25">
      <c r="C90" s="135"/>
    </row>
    <row r="91" spans="3:3" x14ac:dyDescent="0.25">
      <c r="C91" s="135"/>
    </row>
    <row r="92" spans="3:3" x14ac:dyDescent="0.25">
      <c r="C92" s="135"/>
    </row>
    <row r="93" spans="3:3" x14ac:dyDescent="0.25">
      <c r="C93" s="135"/>
    </row>
    <row r="94" spans="3:3" x14ac:dyDescent="0.25">
      <c r="C94" s="135"/>
    </row>
    <row r="96" spans="3:3" x14ac:dyDescent="0.25">
      <c r="C96" s="135"/>
    </row>
    <row r="97" spans="3:3" x14ac:dyDescent="0.25">
      <c r="C97" s="135"/>
    </row>
    <row r="98" spans="3:3" x14ac:dyDescent="0.25">
      <c r="C98" s="135"/>
    </row>
    <row r="99" spans="3:3" x14ac:dyDescent="0.25">
      <c r="C99" s="135"/>
    </row>
    <row r="100" spans="3:3" x14ac:dyDescent="0.25">
      <c r="C100" s="135"/>
    </row>
    <row r="101" spans="3:3" x14ac:dyDescent="0.25">
      <c r="C101" s="135"/>
    </row>
    <row r="102" spans="3:3" x14ac:dyDescent="0.25">
      <c r="C102" s="135"/>
    </row>
    <row r="103" spans="3:3" x14ac:dyDescent="0.25">
      <c r="C103" s="135"/>
    </row>
    <row r="104" spans="3:3" x14ac:dyDescent="0.25">
      <c r="C104" s="135"/>
    </row>
    <row r="105" spans="3:3" x14ac:dyDescent="0.25">
      <c r="C105" s="135"/>
    </row>
    <row r="106" spans="3:3" x14ac:dyDescent="0.25">
      <c r="C106" s="135"/>
    </row>
    <row r="108" spans="3:3" x14ac:dyDescent="0.25">
      <c r="C108" s="135"/>
    </row>
    <row r="109" spans="3:3" x14ac:dyDescent="0.25">
      <c r="C109" s="135"/>
    </row>
    <row r="110" spans="3:3" x14ac:dyDescent="0.25">
      <c r="C110" s="135"/>
    </row>
    <row r="111" spans="3:3" x14ac:dyDescent="0.25">
      <c r="C111" s="135"/>
    </row>
    <row r="112" spans="3:3" x14ac:dyDescent="0.25">
      <c r="C112" s="135"/>
    </row>
    <row r="113" spans="3:3" x14ac:dyDescent="0.25">
      <c r="C113" s="135"/>
    </row>
    <row r="114" spans="3:3" x14ac:dyDescent="0.25">
      <c r="C114" s="135"/>
    </row>
    <row r="115" spans="3:3" x14ac:dyDescent="0.25">
      <c r="C115" s="135"/>
    </row>
    <row r="116" spans="3:3" x14ac:dyDescent="0.25">
      <c r="C116" s="135"/>
    </row>
    <row r="117" spans="3:3" x14ac:dyDescent="0.25">
      <c r="C117" s="135"/>
    </row>
    <row r="118" spans="3:3" x14ac:dyDescent="0.25">
      <c r="C118" s="135"/>
    </row>
    <row r="120" spans="3:3" x14ac:dyDescent="0.25">
      <c r="C120" s="135"/>
    </row>
    <row r="121" spans="3:3" x14ac:dyDescent="0.25">
      <c r="C121" s="135"/>
    </row>
    <row r="122" spans="3:3" x14ac:dyDescent="0.25">
      <c r="C122" s="135"/>
    </row>
    <row r="123" spans="3:3" x14ac:dyDescent="0.25">
      <c r="C123" s="135"/>
    </row>
    <row r="124" spans="3:3" x14ac:dyDescent="0.25">
      <c r="C124" s="135"/>
    </row>
    <row r="125" spans="3:3" x14ac:dyDescent="0.25">
      <c r="C125" s="135"/>
    </row>
    <row r="126" spans="3:3" x14ac:dyDescent="0.25">
      <c r="C126" s="135"/>
    </row>
    <row r="127" spans="3:3" x14ac:dyDescent="0.25">
      <c r="C127" s="135"/>
    </row>
    <row r="128" spans="3:3" x14ac:dyDescent="0.25">
      <c r="C128" s="135"/>
    </row>
    <row r="129" spans="3:3" x14ac:dyDescent="0.25">
      <c r="C129" s="135"/>
    </row>
    <row r="130" spans="3:3" x14ac:dyDescent="0.25">
      <c r="C130" s="135"/>
    </row>
    <row r="132" spans="3:3" x14ac:dyDescent="0.25">
      <c r="C132" s="135"/>
    </row>
    <row r="133" spans="3:3" x14ac:dyDescent="0.25">
      <c r="C133" s="135"/>
    </row>
    <row r="134" spans="3:3" x14ac:dyDescent="0.25">
      <c r="C134" s="135"/>
    </row>
    <row r="135" spans="3:3" x14ac:dyDescent="0.25">
      <c r="C135" s="135"/>
    </row>
    <row r="136" spans="3:3" x14ac:dyDescent="0.25">
      <c r="C136" s="135"/>
    </row>
    <row r="137" spans="3:3" x14ac:dyDescent="0.25">
      <c r="C137" s="135"/>
    </row>
    <row r="138" spans="3:3" x14ac:dyDescent="0.25">
      <c r="C138" s="135"/>
    </row>
    <row r="139" spans="3:3" x14ac:dyDescent="0.25">
      <c r="C139" s="135"/>
    </row>
    <row r="140" spans="3:3" x14ac:dyDescent="0.25">
      <c r="C140" s="135"/>
    </row>
    <row r="141" spans="3:3" x14ac:dyDescent="0.25">
      <c r="C141" s="135"/>
    </row>
    <row r="142" spans="3:3" x14ac:dyDescent="0.25">
      <c r="C142" s="135"/>
    </row>
  </sheetData>
  <mergeCells count="1">
    <mergeCell ref="D1:F1"/>
  </mergeCells>
  <hyperlinks>
    <hyperlink ref="D5" r:id="rId1" display="https://www.ksh.hu/stadat_files/mun/hu/mun0207.html" xr:uid="{970AFC62-4B73-49D1-ACE2-ECA9EDE46F88}"/>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5"/>
  <dimension ref="A1:P32"/>
  <sheetViews>
    <sheetView topLeftCell="A7" workbookViewId="0">
      <selection activeCell="F30" sqref="F30"/>
    </sheetView>
  </sheetViews>
  <sheetFormatPr defaultRowHeight="13.2" x14ac:dyDescent="0.25"/>
  <cols>
    <col min="1" max="1" width="25" customWidth="1"/>
    <col min="2" max="2" width="9.33203125" bestFit="1" customWidth="1"/>
  </cols>
  <sheetData>
    <row r="1" spans="1:16" x14ac:dyDescent="0.25">
      <c r="A1" t="s">
        <v>188</v>
      </c>
    </row>
    <row r="2" spans="1:16" x14ac:dyDescent="0.25">
      <c r="A2" t="str">
        <f>CONCATENATE("Türelmi idős, ahol a"," ",Calc!G6," ","hónap rendelkezésre tartási időszak alatt Ön a le nem hívott hitelrész után csak rendelkezésre tartási jutalékot, a folyósított hitelrész után csak kamatot fizet, a tőketörlesztés a rendelkezésre tartási időszakot követően kezdődik el.")</f>
        <v>Türelmi idős, ahol a 0 hónap rendelkezésre tartási időszak alatt Ön a le nem hívott hitelrész után csak rendelkezésre tartási jutalékot, a folyósított hitelrész után csak kamatot fizet, a tőketörlesztés a rendelkezésre tartási időszakot követően kezdődik el.</v>
      </c>
    </row>
    <row r="5" spans="1:16" x14ac:dyDescent="0.25">
      <c r="A5" t="s">
        <v>189</v>
      </c>
    </row>
    <row r="6" spans="1:16" x14ac:dyDescent="0.25">
      <c r="A6" t="s">
        <v>190</v>
      </c>
    </row>
    <row r="7" spans="1:16" x14ac:dyDescent="0.25">
      <c r="A7" t="s">
        <v>191</v>
      </c>
    </row>
    <row r="8" spans="1:16" x14ac:dyDescent="0.25">
      <c r="A8" t="s">
        <v>192</v>
      </c>
    </row>
    <row r="10" spans="1:16" x14ac:dyDescent="0.25">
      <c r="A10" s="581" t="s">
        <v>20</v>
      </c>
      <c r="B10" s="581"/>
      <c r="C10" s="581"/>
      <c r="D10" s="581"/>
      <c r="E10" s="581"/>
      <c r="F10" s="581"/>
      <c r="G10" s="581"/>
      <c r="H10" s="581"/>
      <c r="I10" s="581"/>
      <c r="J10" s="581"/>
      <c r="K10" s="581"/>
      <c r="L10" s="581"/>
      <c r="M10" s="581"/>
      <c r="N10" s="581"/>
      <c r="O10" s="581"/>
      <c r="P10" s="581"/>
    </row>
    <row r="11" spans="1:16" x14ac:dyDescent="0.25">
      <c r="A11" s="268" t="s">
        <v>276</v>
      </c>
      <c r="B11" s="268"/>
      <c r="C11" s="268"/>
      <c r="D11" s="268"/>
      <c r="E11" s="268"/>
      <c r="F11" s="268"/>
      <c r="G11" s="268"/>
      <c r="H11" s="268"/>
      <c r="I11" s="268"/>
      <c r="J11" s="268"/>
      <c r="K11" s="268"/>
      <c r="L11" s="268"/>
      <c r="M11" s="268"/>
      <c r="N11" s="268"/>
      <c r="O11" s="268"/>
      <c r="P11" s="268"/>
    </row>
    <row r="12" spans="1:16" x14ac:dyDescent="0.25">
      <c r="A12" s="268" t="s">
        <v>277</v>
      </c>
      <c r="B12" s="268"/>
      <c r="C12" s="268"/>
      <c r="D12" s="268"/>
      <c r="E12" s="268"/>
      <c r="F12" s="268"/>
      <c r="G12" s="268"/>
      <c r="H12" s="268"/>
      <c r="I12" s="268"/>
      <c r="J12" s="268"/>
      <c r="K12" s="268"/>
      <c r="L12" s="268"/>
      <c r="M12" s="268"/>
      <c r="N12" s="268"/>
      <c r="O12" s="268"/>
      <c r="P12" s="268"/>
    </row>
    <row r="13" spans="1:16" x14ac:dyDescent="0.25">
      <c r="A13" s="268" t="s">
        <v>278</v>
      </c>
      <c r="B13" s="308"/>
      <c r="C13" s="308"/>
      <c r="D13" s="308"/>
      <c r="E13" s="308"/>
      <c r="F13" s="308"/>
      <c r="G13" s="308"/>
      <c r="H13" s="308"/>
      <c r="I13" s="308"/>
      <c r="J13" s="308"/>
      <c r="K13" s="308"/>
      <c r="L13" s="308"/>
      <c r="M13" s="308"/>
      <c r="N13" s="308"/>
      <c r="O13" s="308"/>
      <c r="P13" s="308"/>
    </row>
    <row r="14" spans="1:16" x14ac:dyDescent="0.25">
      <c r="A14" s="308" t="s">
        <v>279</v>
      </c>
      <c r="B14" s="308"/>
      <c r="C14" s="308"/>
      <c r="D14" s="308"/>
      <c r="E14" s="308"/>
      <c r="F14" s="308"/>
      <c r="G14" s="308"/>
      <c r="H14" s="308"/>
      <c r="I14" s="308"/>
      <c r="J14" s="308"/>
      <c r="K14" s="308"/>
      <c r="L14" s="308"/>
      <c r="M14" s="308"/>
      <c r="N14" s="308"/>
      <c r="O14" s="308"/>
      <c r="P14" s="308"/>
    </row>
    <row r="16" spans="1:16" x14ac:dyDescent="0.25">
      <c r="A16" s="581" t="s">
        <v>236</v>
      </c>
      <c r="B16" s="581"/>
      <c r="C16" s="581"/>
      <c r="D16" s="581"/>
      <c r="E16" s="581"/>
      <c r="F16" s="581"/>
      <c r="G16" s="581"/>
      <c r="H16" s="581"/>
      <c r="I16" s="581"/>
      <c r="J16" s="581"/>
      <c r="K16" s="581"/>
      <c r="L16" s="581"/>
      <c r="M16" s="581"/>
      <c r="N16" s="581"/>
      <c r="O16" s="581"/>
      <c r="P16" s="581"/>
    </row>
    <row r="17" spans="1:16" x14ac:dyDescent="0.25">
      <c r="A17" s="269">
        <v>15000000</v>
      </c>
      <c r="B17" s="582" t="s">
        <v>300</v>
      </c>
      <c r="C17" s="583"/>
      <c r="D17" s="583"/>
      <c r="E17" s="583"/>
      <c r="F17" s="583"/>
      <c r="G17" s="583"/>
      <c r="H17" s="583"/>
      <c r="I17" s="583"/>
      <c r="J17" s="583"/>
      <c r="K17" s="583"/>
      <c r="L17" s="583"/>
      <c r="M17" s="583"/>
      <c r="N17" s="583"/>
      <c r="O17" s="583"/>
      <c r="P17" s="584"/>
    </row>
    <row r="22" spans="1:16" x14ac:dyDescent="0.25">
      <c r="A22" t="s">
        <v>160</v>
      </c>
    </row>
    <row r="23" spans="1:16" x14ac:dyDescent="0.25">
      <c r="A23" t="s">
        <v>162</v>
      </c>
    </row>
    <row r="24" spans="1:16" ht="12.75" customHeight="1" x14ac:dyDescent="0.25">
      <c r="A24" t="s">
        <v>249</v>
      </c>
    </row>
    <row r="25" spans="1:16" ht="12.75" customHeight="1" x14ac:dyDescent="0.25">
      <c r="A25" t="s">
        <v>250</v>
      </c>
    </row>
    <row r="28" spans="1:16" x14ac:dyDescent="0.25">
      <c r="A28" t="s">
        <v>280</v>
      </c>
    </row>
    <row r="29" spans="1:16" x14ac:dyDescent="0.25">
      <c r="A29" t="s">
        <v>281</v>
      </c>
      <c r="B29" s="310">
        <v>5.8900000000000001E-2</v>
      </c>
    </row>
    <row r="30" spans="1:16" x14ac:dyDescent="0.25">
      <c r="A30" t="s">
        <v>282</v>
      </c>
      <c r="B30" s="309">
        <f>B29*1.15</f>
        <v>6.773499999999999E-2</v>
      </c>
    </row>
    <row r="31" spans="1:16" x14ac:dyDescent="0.25">
      <c r="A31" t="s">
        <v>283</v>
      </c>
      <c r="B31" s="311">
        <f>B30+1%</f>
        <v>7.7734999999999985E-2</v>
      </c>
    </row>
    <row r="32" spans="1:16" x14ac:dyDescent="0.25">
      <c r="A32" s="312" t="s">
        <v>284</v>
      </c>
      <c r="B32" s="313">
        <f>B31-3%</f>
        <v>4.7734999999999986E-2</v>
      </c>
    </row>
  </sheetData>
  <mergeCells count="3">
    <mergeCell ref="A10:P10"/>
    <mergeCell ref="A16:P16"/>
    <mergeCell ref="B17:P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FB768-38B8-44FF-92BE-94BCC2E9387E}">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AA47F-4D08-48EC-8FAB-2DF9E47294CB}">
  <sheetPr codeName="Munka8"/>
  <dimension ref="A1:F5"/>
  <sheetViews>
    <sheetView zoomScale="85" zoomScaleNormal="85" workbookViewId="0">
      <selection activeCell="A23" sqref="A23"/>
    </sheetView>
  </sheetViews>
  <sheetFormatPr defaultRowHeight="13.2" x14ac:dyDescent="0.25"/>
  <cols>
    <col min="1" max="1" width="137.6640625" customWidth="1"/>
    <col min="2" max="2" width="29.88671875" customWidth="1"/>
    <col min="3" max="3" width="18.33203125" customWidth="1"/>
    <col min="4" max="4" width="16.33203125" bestFit="1" customWidth="1"/>
    <col min="5" max="5" width="23.33203125" customWidth="1"/>
    <col min="6" max="6" width="19.33203125" bestFit="1" customWidth="1"/>
  </cols>
  <sheetData>
    <row r="1" spans="1:6" x14ac:dyDescent="0.25">
      <c r="A1" s="314"/>
      <c r="B1" s="316" t="s">
        <v>0</v>
      </c>
      <c r="C1" s="316" t="s">
        <v>268</v>
      </c>
      <c r="D1" s="316" t="s">
        <v>269</v>
      </c>
      <c r="E1" s="316" t="s">
        <v>270</v>
      </c>
    </row>
    <row r="2" spans="1:6" x14ac:dyDescent="0.25">
      <c r="A2" s="315" t="s">
        <v>276</v>
      </c>
      <c r="B2" s="305">
        <v>10000000</v>
      </c>
      <c r="C2" s="305">
        <v>3400924</v>
      </c>
      <c r="D2" s="305">
        <v>13400924</v>
      </c>
      <c r="E2" s="306">
        <v>3.1199999999999999E-2</v>
      </c>
      <c r="F2" s="304"/>
    </row>
    <row r="3" spans="1:6" x14ac:dyDescent="0.25">
      <c r="A3" s="315" t="s">
        <v>277</v>
      </c>
      <c r="B3" s="305">
        <v>12000000</v>
      </c>
      <c r="C3" s="305">
        <v>4062983</v>
      </c>
      <c r="D3" s="305">
        <v>16062983</v>
      </c>
      <c r="E3" s="306">
        <v>3.1099999999999999E-2</v>
      </c>
      <c r="F3" s="306"/>
    </row>
    <row r="4" spans="1:6" x14ac:dyDescent="0.25">
      <c r="A4" s="315" t="s">
        <v>278</v>
      </c>
      <c r="B4" s="305">
        <v>10000000</v>
      </c>
      <c r="C4" s="305">
        <v>3400924</v>
      </c>
      <c r="D4" s="305">
        <v>13400924</v>
      </c>
      <c r="E4" s="306">
        <v>3.1199999999999999E-2</v>
      </c>
      <c r="F4" s="306"/>
    </row>
    <row r="5" spans="1:6" x14ac:dyDescent="0.25">
      <c r="A5" s="315" t="s">
        <v>279</v>
      </c>
      <c r="B5" s="305">
        <v>12000000</v>
      </c>
      <c r="C5" s="305">
        <v>4062983</v>
      </c>
      <c r="D5" s="305">
        <v>16062983</v>
      </c>
      <c r="E5" s="306">
        <v>3.1099999999999999E-2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6"/>
  <dimension ref="A1:S228"/>
  <sheetViews>
    <sheetView view="pageBreakPreview" topLeftCell="A159" zoomScaleNormal="130" zoomScaleSheetLayoutView="100" workbookViewId="0">
      <selection activeCell="B161" sqref="B161:J161"/>
    </sheetView>
  </sheetViews>
  <sheetFormatPr defaultColWidth="9.109375" defaultRowHeight="13.2" x14ac:dyDescent="0.25"/>
  <cols>
    <col min="1" max="1" width="14.88671875" style="259" customWidth="1"/>
    <col min="2" max="2" width="7.44140625" style="260" customWidth="1"/>
    <col min="3" max="3" width="11.5546875" style="219" customWidth="1"/>
    <col min="4" max="4" width="9.6640625" style="219" customWidth="1"/>
    <col min="5" max="5" width="11.109375" style="219" customWidth="1"/>
    <col min="6" max="6" width="10.88671875" style="219" customWidth="1"/>
    <col min="7" max="7" width="9.5546875" style="219" customWidth="1"/>
    <col min="8" max="8" width="10.109375" style="219" customWidth="1"/>
    <col min="9" max="9" width="12.33203125" style="219" customWidth="1"/>
    <col min="10" max="10" width="14" style="219" customWidth="1"/>
    <col min="11" max="11" width="18.6640625" style="219" customWidth="1"/>
    <col min="12" max="12" width="10.33203125" style="219" bestFit="1" customWidth="1"/>
    <col min="13" max="16384" width="9.109375" style="219"/>
  </cols>
  <sheetData>
    <row r="1" spans="1:13" s="229" customFormat="1" ht="27" customHeight="1" x14ac:dyDescent="0.25">
      <c r="A1" s="375" t="s">
        <v>88</v>
      </c>
      <c r="B1" s="376"/>
      <c r="C1" s="376"/>
      <c r="D1" s="376"/>
      <c r="E1" s="376"/>
      <c r="F1" s="376"/>
      <c r="G1" s="376"/>
      <c r="H1" s="376"/>
      <c r="I1" s="376"/>
      <c r="J1" s="377"/>
    </row>
    <row r="2" spans="1:13" ht="49.5" customHeight="1" thickBot="1" x14ac:dyDescent="0.3">
      <c r="A2" s="382" t="s">
        <v>126</v>
      </c>
      <c r="B2" s="383"/>
      <c r="C2" s="383"/>
      <c r="D2" s="383"/>
      <c r="E2" s="383"/>
      <c r="F2" s="383"/>
      <c r="G2" s="383"/>
      <c r="H2" s="383"/>
      <c r="I2" s="383"/>
      <c r="J2" s="384"/>
    </row>
    <row r="3" spans="1:13" ht="26.25" customHeight="1" x14ac:dyDescent="0.3">
      <c r="A3" s="378" t="s">
        <v>127</v>
      </c>
      <c r="B3" s="379"/>
      <c r="C3" s="397"/>
      <c r="D3" s="398"/>
      <c r="E3" s="398"/>
      <c r="F3" s="398"/>
      <c r="G3" s="398"/>
      <c r="H3" s="398"/>
      <c r="I3" s="398"/>
      <c r="J3" s="399"/>
      <c r="K3" s="230"/>
      <c r="L3" s="230"/>
      <c r="M3" s="230"/>
    </row>
    <row r="4" spans="1:13" s="233" customFormat="1" ht="12.75" customHeight="1" x14ac:dyDescent="0.3">
      <c r="A4" s="231" t="s">
        <v>50</v>
      </c>
      <c r="B4" s="352" t="s">
        <v>51</v>
      </c>
      <c r="C4" s="353"/>
      <c r="D4" s="353"/>
      <c r="E4" s="353"/>
      <c r="F4" s="353"/>
      <c r="G4" s="353"/>
      <c r="H4" s="353"/>
      <c r="I4" s="353"/>
      <c r="J4" s="354"/>
      <c r="K4" s="232"/>
      <c r="L4" s="232"/>
      <c r="M4" s="232"/>
    </row>
    <row r="5" spans="1:13" ht="12.75" customHeight="1" x14ac:dyDescent="0.3">
      <c r="A5" s="234" t="s">
        <v>52</v>
      </c>
      <c r="B5" s="355" t="s">
        <v>201</v>
      </c>
      <c r="C5" s="356"/>
      <c r="D5" s="356"/>
      <c r="E5" s="356"/>
      <c r="F5" s="356"/>
      <c r="G5" s="356"/>
      <c r="H5" s="356"/>
      <c r="I5" s="356"/>
      <c r="J5" s="357"/>
      <c r="K5" s="230"/>
      <c r="L5" s="230"/>
      <c r="M5" s="230"/>
    </row>
    <row r="6" spans="1:13" ht="12.75" customHeight="1" x14ac:dyDescent="0.3">
      <c r="A6" s="347" t="s">
        <v>74</v>
      </c>
      <c r="B6" s="387" t="s">
        <v>97</v>
      </c>
      <c r="C6" s="388"/>
      <c r="D6" s="388"/>
      <c r="E6" s="395"/>
      <c r="F6" s="395"/>
      <c r="G6" s="395"/>
      <c r="H6" s="395"/>
      <c r="I6" s="395"/>
      <c r="J6" s="395"/>
      <c r="K6" s="230"/>
      <c r="L6" s="230"/>
      <c r="M6" s="230"/>
    </row>
    <row r="7" spans="1:13" ht="12.75" customHeight="1" x14ac:dyDescent="0.3">
      <c r="A7" s="348"/>
      <c r="B7" s="389" t="s">
        <v>194</v>
      </c>
      <c r="C7" s="390"/>
      <c r="D7" s="390"/>
      <c r="E7" s="396"/>
      <c r="F7" s="396"/>
      <c r="G7" s="396"/>
      <c r="H7" s="396"/>
      <c r="I7" s="396"/>
      <c r="J7" s="396"/>
      <c r="K7" s="230"/>
      <c r="L7" s="230"/>
      <c r="M7" s="230"/>
    </row>
    <row r="8" spans="1:13" ht="12.75" customHeight="1" x14ac:dyDescent="0.3">
      <c r="A8" s="348"/>
      <c r="B8" s="389" t="s">
        <v>193</v>
      </c>
      <c r="C8" s="390"/>
      <c r="D8" s="390"/>
      <c r="E8" s="396"/>
      <c r="F8" s="396"/>
      <c r="G8" s="396"/>
      <c r="H8" s="396"/>
      <c r="I8" s="396"/>
      <c r="J8" s="396"/>
      <c r="K8" s="230"/>
      <c r="L8" s="230"/>
      <c r="M8" s="230"/>
    </row>
    <row r="9" spans="1:13" ht="12.75" customHeight="1" x14ac:dyDescent="0.3">
      <c r="A9" s="348"/>
      <c r="B9" s="389" t="s">
        <v>199</v>
      </c>
      <c r="C9" s="390"/>
      <c r="D9" s="390"/>
      <c r="E9" s="390"/>
      <c r="F9" s="396"/>
      <c r="G9" s="396"/>
      <c r="H9" s="396"/>
      <c r="I9" s="396"/>
      <c r="J9" s="396"/>
      <c r="K9" s="230"/>
      <c r="L9" s="266">
        <f>IF(F9="",1,2)</f>
        <v>1</v>
      </c>
      <c r="M9" s="230"/>
    </row>
    <row r="10" spans="1:13" ht="12.75" customHeight="1" x14ac:dyDescent="0.3">
      <c r="A10" s="348"/>
      <c r="B10" s="389" t="s">
        <v>226</v>
      </c>
      <c r="C10" s="390"/>
      <c r="D10" s="390"/>
      <c r="E10" s="390"/>
      <c r="F10" s="396"/>
      <c r="G10" s="396"/>
      <c r="H10" s="396"/>
      <c r="I10" s="396"/>
      <c r="J10" s="396"/>
      <c r="K10" s="230"/>
      <c r="L10" s="266">
        <f>IF(F10="",1,2)</f>
        <v>1</v>
      </c>
      <c r="M10" s="230"/>
    </row>
    <row r="11" spans="1:13" ht="16.5" customHeight="1" x14ac:dyDescent="0.3">
      <c r="A11" s="349"/>
      <c r="B11" s="393" t="s">
        <v>199</v>
      </c>
      <c r="C11" s="394"/>
      <c r="D11" s="394"/>
      <c r="E11" s="394"/>
      <c r="F11" s="400"/>
      <c r="G11" s="400"/>
      <c r="H11" s="400"/>
      <c r="I11" s="400"/>
      <c r="J11" s="400"/>
      <c r="K11" s="230"/>
      <c r="L11" s="266">
        <f>IF(F11="",1,2)</f>
        <v>1</v>
      </c>
      <c r="M11" s="230"/>
    </row>
    <row r="12" spans="1:13" s="233" customFormat="1" ht="12.75" customHeight="1" x14ac:dyDescent="0.3">
      <c r="A12" s="153" t="s">
        <v>53</v>
      </c>
      <c r="B12" s="352" t="s">
        <v>54</v>
      </c>
      <c r="C12" s="353"/>
      <c r="D12" s="353"/>
      <c r="E12" s="353"/>
      <c r="F12" s="353"/>
      <c r="G12" s="353"/>
      <c r="H12" s="353"/>
      <c r="I12" s="353"/>
      <c r="J12" s="354"/>
      <c r="K12" s="232"/>
      <c r="L12" s="232"/>
      <c r="M12" s="232"/>
    </row>
    <row r="13" spans="1:13" ht="12.75" customHeight="1" x14ac:dyDescent="0.3">
      <c r="A13" s="235" t="s">
        <v>55</v>
      </c>
      <c r="B13" s="358" t="s">
        <v>202</v>
      </c>
      <c r="C13" s="359"/>
      <c r="D13" s="359"/>
      <c r="E13" s="359"/>
      <c r="F13" s="359"/>
      <c r="G13" s="359"/>
      <c r="H13" s="359"/>
      <c r="I13" s="359"/>
      <c r="J13" s="360"/>
      <c r="K13" s="230"/>
      <c r="L13" s="230"/>
      <c r="M13" s="230"/>
    </row>
    <row r="14" spans="1:13" ht="326.39999999999998" customHeight="1" x14ac:dyDescent="0.3">
      <c r="A14" s="155"/>
      <c r="B14" s="362" t="s">
        <v>285</v>
      </c>
      <c r="C14" s="391"/>
      <c r="D14" s="391"/>
      <c r="E14" s="391"/>
      <c r="F14" s="391"/>
      <c r="G14" s="391"/>
      <c r="H14" s="391"/>
      <c r="I14" s="391"/>
      <c r="J14" s="392"/>
      <c r="K14" s="230"/>
      <c r="L14" s="236"/>
      <c r="M14" s="230"/>
    </row>
    <row r="15" spans="1:13" s="233" customFormat="1" ht="293.39999999999998" customHeight="1" x14ac:dyDescent="0.3">
      <c r="A15" s="154"/>
      <c r="B15" s="355"/>
      <c r="C15" s="356"/>
      <c r="D15" s="356"/>
      <c r="E15" s="356"/>
      <c r="F15" s="356"/>
      <c r="G15" s="356"/>
      <c r="H15" s="356"/>
      <c r="I15" s="356"/>
      <c r="J15" s="357"/>
      <c r="K15" s="232"/>
      <c r="L15" s="232"/>
      <c r="M15" s="232"/>
    </row>
    <row r="16" spans="1:13" ht="17.399999999999999" customHeight="1" x14ac:dyDescent="0.3">
      <c r="A16" s="153" t="s">
        <v>56</v>
      </c>
      <c r="B16" s="352" t="s">
        <v>203</v>
      </c>
      <c r="C16" s="353"/>
      <c r="D16" s="353"/>
      <c r="E16" s="353"/>
      <c r="F16" s="353"/>
      <c r="G16" s="353"/>
      <c r="H16" s="353"/>
      <c r="I16" s="353"/>
      <c r="J16" s="354"/>
      <c r="K16" s="230"/>
      <c r="L16" s="230"/>
      <c r="M16" s="230"/>
    </row>
    <row r="17" spans="1:13" s="233" customFormat="1" ht="37.950000000000003" customHeight="1" x14ac:dyDescent="0.3">
      <c r="A17" s="154"/>
      <c r="B17" s="362" t="s">
        <v>286</v>
      </c>
      <c r="C17" s="391"/>
      <c r="D17" s="391"/>
      <c r="E17" s="391"/>
      <c r="F17" s="391"/>
      <c r="G17" s="391"/>
      <c r="H17" s="391"/>
      <c r="I17" s="391"/>
      <c r="J17" s="392"/>
      <c r="K17" s="232"/>
      <c r="L17" s="232"/>
      <c r="M17" s="232"/>
    </row>
    <row r="18" spans="1:13" s="233" customFormat="1" ht="21.6" customHeight="1" x14ac:dyDescent="0.3">
      <c r="A18" s="153" t="s">
        <v>57</v>
      </c>
      <c r="B18" s="352" t="s">
        <v>204</v>
      </c>
      <c r="C18" s="353"/>
      <c r="D18" s="353"/>
      <c r="E18" s="353"/>
      <c r="F18" s="353"/>
      <c r="G18" s="353"/>
      <c r="H18" s="353"/>
      <c r="I18" s="353"/>
      <c r="J18" s="354"/>
      <c r="K18" s="232"/>
      <c r="L18" s="232"/>
      <c r="M18" s="232"/>
    </row>
    <row r="19" spans="1:13" ht="157.19999999999999" customHeight="1" x14ac:dyDescent="0.3">
      <c r="A19" s="170"/>
      <c r="B19" s="385" t="s">
        <v>287</v>
      </c>
      <c r="C19" s="386"/>
      <c r="D19" s="386"/>
      <c r="E19" s="386"/>
      <c r="F19" s="386"/>
      <c r="G19" s="386"/>
      <c r="H19" s="386"/>
      <c r="I19" s="386"/>
      <c r="J19" s="386"/>
      <c r="K19" s="230"/>
      <c r="L19" s="230"/>
      <c r="M19" s="230"/>
    </row>
    <row r="20" spans="1:13" s="233" customFormat="1" ht="25.2" customHeight="1" x14ac:dyDescent="0.3">
      <c r="A20" s="153" t="s">
        <v>128</v>
      </c>
      <c r="B20" s="358" t="s">
        <v>205</v>
      </c>
      <c r="C20" s="359"/>
      <c r="D20" s="359"/>
      <c r="E20" s="359"/>
      <c r="F20" s="359"/>
      <c r="G20" s="359"/>
      <c r="H20" s="359"/>
      <c r="I20" s="359"/>
      <c r="J20" s="360"/>
      <c r="K20" s="232"/>
      <c r="L20" s="232"/>
      <c r="M20" s="232"/>
    </row>
    <row r="21" spans="1:13" s="233" customFormat="1" ht="214.2" customHeight="1" x14ac:dyDescent="0.3">
      <c r="A21" s="380"/>
      <c r="B21" s="355" t="s">
        <v>288</v>
      </c>
      <c r="C21" s="356"/>
      <c r="D21" s="356"/>
      <c r="E21" s="356"/>
      <c r="F21" s="356"/>
      <c r="G21" s="356"/>
      <c r="H21" s="356"/>
      <c r="I21" s="356"/>
      <c r="J21" s="357"/>
      <c r="K21" s="232"/>
      <c r="L21" s="232"/>
      <c r="M21" s="232"/>
    </row>
    <row r="22" spans="1:13" ht="96.6" customHeight="1" x14ac:dyDescent="0.3">
      <c r="A22" s="380"/>
      <c r="B22" s="528" t="s">
        <v>292</v>
      </c>
      <c r="C22" s="529"/>
      <c r="D22" s="529"/>
      <c r="E22" s="529"/>
      <c r="F22" s="529"/>
      <c r="G22" s="529"/>
      <c r="H22" s="529"/>
      <c r="I22" s="529"/>
      <c r="J22" s="530"/>
      <c r="K22" s="230"/>
      <c r="L22" s="230"/>
      <c r="M22" s="230"/>
    </row>
    <row r="23" spans="1:13" ht="119.25" customHeight="1" x14ac:dyDescent="0.3">
      <c r="A23" s="381"/>
      <c r="B23" s="355"/>
      <c r="C23" s="356"/>
      <c r="D23" s="356"/>
      <c r="E23" s="356"/>
      <c r="F23" s="356"/>
      <c r="G23" s="356"/>
      <c r="H23" s="356"/>
      <c r="I23" s="356"/>
      <c r="J23" s="357"/>
      <c r="K23" s="230"/>
      <c r="L23" s="230"/>
      <c r="M23" s="230"/>
    </row>
    <row r="24" spans="1:13" ht="42" customHeight="1" x14ac:dyDescent="0.3">
      <c r="A24" s="153" t="s">
        <v>58</v>
      </c>
      <c r="B24" s="352" t="s">
        <v>293</v>
      </c>
      <c r="C24" s="353"/>
      <c r="D24" s="353"/>
      <c r="E24" s="353"/>
      <c r="F24" s="353"/>
      <c r="G24" s="353"/>
      <c r="H24" s="353"/>
      <c r="I24" s="353"/>
      <c r="J24" s="354"/>
      <c r="K24" s="230"/>
      <c r="L24" s="230"/>
      <c r="M24" s="230"/>
    </row>
    <row r="25" spans="1:13" ht="26.4" customHeight="1" x14ac:dyDescent="0.3">
      <c r="A25" s="154"/>
      <c r="B25" s="358" t="s">
        <v>289</v>
      </c>
      <c r="C25" s="359"/>
      <c r="D25" s="359"/>
      <c r="E25" s="359"/>
      <c r="F25" s="359"/>
      <c r="G25" s="359"/>
      <c r="H25" s="359"/>
      <c r="I25" s="359"/>
      <c r="J25" s="360"/>
      <c r="K25" s="230"/>
      <c r="L25" s="230"/>
      <c r="M25" s="230"/>
    </row>
    <row r="26" spans="1:13" s="233" customFormat="1" ht="16.2" customHeight="1" x14ac:dyDescent="0.3">
      <c r="A26" s="153" t="s">
        <v>59</v>
      </c>
      <c r="B26" s="352" t="s">
        <v>294</v>
      </c>
      <c r="C26" s="353"/>
      <c r="D26" s="353"/>
      <c r="E26" s="353"/>
      <c r="F26" s="353"/>
      <c r="G26" s="353"/>
      <c r="H26" s="353"/>
      <c r="I26" s="353"/>
      <c r="J26" s="354"/>
      <c r="K26" s="232"/>
      <c r="L26" s="232"/>
      <c r="M26" s="232"/>
    </row>
    <row r="27" spans="1:13" ht="12.75" customHeight="1" x14ac:dyDescent="0.3">
      <c r="A27" s="155"/>
      <c r="B27" s="535" t="s">
        <v>271</v>
      </c>
      <c r="C27" s="385"/>
      <c r="D27" s="540">
        <f>VLOOKUP(D29,Repi_példa!A:E,2,0)</f>
        <v>10000000</v>
      </c>
      <c r="E27" s="540"/>
      <c r="F27" s="540"/>
      <c r="G27" s="540"/>
      <c r="H27" s="540"/>
      <c r="I27" s="540"/>
      <c r="J27" s="541"/>
      <c r="K27" s="230"/>
      <c r="L27" s="230"/>
      <c r="M27" s="230"/>
    </row>
    <row r="28" spans="1:13" ht="12.75" customHeight="1" x14ac:dyDescent="0.3">
      <c r="A28" s="155"/>
      <c r="B28" s="358" t="s">
        <v>209</v>
      </c>
      <c r="C28" s="359"/>
      <c r="D28" s="359"/>
      <c r="E28" s="359"/>
      <c r="F28" s="359"/>
      <c r="G28" s="359"/>
      <c r="H28" s="359"/>
      <c r="I28" s="359"/>
      <c r="J28" s="360"/>
      <c r="K28" s="230"/>
      <c r="L28" s="230"/>
      <c r="M28" s="230"/>
    </row>
    <row r="29" spans="1:13" ht="23.25" customHeight="1" x14ac:dyDescent="0.3">
      <c r="A29" s="155"/>
      <c r="B29" s="536" t="s">
        <v>272</v>
      </c>
      <c r="C29" s="537"/>
      <c r="D29" s="538" t="str">
        <f>Calc!C1</f>
        <v>Preferált Településen Több Gyermekes Családok Otthonteremtési Kamattámogatott Hitele – 1 éves kamatperiódussal – két gyermek esetén új lakás vásárlás, építés</v>
      </c>
      <c r="E29" s="538"/>
      <c r="F29" s="538"/>
      <c r="G29" s="538"/>
      <c r="H29" s="538"/>
      <c r="I29" s="538"/>
      <c r="J29" s="539"/>
      <c r="K29" s="230"/>
      <c r="L29" s="230"/>
      <c r="M29" s="230"/>
    </row>
    <row r="30" spans="1:13" ht="12.75" customHeight="1" x14ac:dyDescent="0.3">
      <c r="A30" s="155"/>
      <c r="B30" s="545" t="s">
        <v>152</v>
      </c>
      <c r="C30" s="546"/>
      <c r="D30" s="156">
        <f>VLOOKUP(D29,Repi_példa!A:E,3,0)</f>
        <v>3400924</v>
      </c>
      <c r="E30" s="157"/>
      <c r="F30" s="157"/>
      <c r="G30" s="157"/>
      <c r="H30" s="157"/>
      <c r="I30" s="157"/>
      <c r="J30" s="158"/>
      <c r="K30" s="230"/>
      <c r="L30" s="230"/>
      <c r="M30" s="230"/>
    </row>
    <row r="31" spans="1:13" s="233" customFormat="1" ht="13.5" customHeight="1" x14ac:dyDescent="0.3">
      <c r="A31" s="155"/>
      <c r="B31" s="362" t="s">
        <v>129</v>
      </c>
      <c r="C31" s="391"/>
      <c r="D31" s="391"/>
      <c r="E31" s="391"/>
      <c r="F31" s="156">
        <f>VLOOKUP(D29,Repi_példa!A:E,4,0)</f>
        <v>13400924</v>
      </c>
      <c r="G31" s="159"/>
      <c r="H31" s="159"/>
      <c r="I31" s="159"/>
      <c r="J31" s="160"/>
      <c r="K31" s="232"/>
      <c r="L31" s="232"/>
      <c r="M31" s="232"/>
    </row>
    <row r="32" spans="1:13" ht="15" customHeight="1" x14ac:dyDescent="0.3">
      <c r="A32" s="155"/>
      <c r="B32" s="162" t="s">
        <v>130</v>
      </c>
      <c r="C32" s="161">
        <f>VLOOKUP(D29,Repi_példa!A:E,5,0)</f>
        <v>3.1199999999999999E-2</v>
      </c>
      <c r="D32" s="162"/>
      <c r="E32" s="162"/>
      <c r="F32" s="162"/>
      <c r="G32" s="162"/>
      <c r="H32" s="162"/>
      <c r="I32" s="162"/>
      <c r="J32" s="163"/>
      <c r="K32" s="230"/>
      <c r="L32" s="230"/>
      <c r="M32" s="230"/>
    </row>
    <row r="33" spans="1:19" ht="13.5" hidden="1" customHeight="1" x14ac:dyDescent="0.3">
      <c r="A33" s="155"/>
      <c r="B33" s="358" t="s">
        <v>206</v>
      </c>
      <c r="C33" s="359"/>
      <c r="D33" s="359"/>
      <c r="E33" s="359"/>
      <c r="F33" s="359"/>
      <c r="G33" s="359"/>
      <c r="H33" s="359"/>
      <c r="I33" s="359"/>
      <c r="J33" s="360"/>
      <c r="K33" s="230"/>
      <c r="L33" s="230"/>
      <c r="M33" s="230"/>
    </row>
    <row r="34" spans="1:19" ht="13.5" hidden="1" customHeight="1" x14ac:dyDescent="0.3">
      <c r="A34" s="155"/>
      <c r="B34" s="358" t="s">
        <v>208</v>
      </c>
      <c r="C34" s="359"/>
      <c r="D34" s="359"/>
      <c r="E34" s="359"/>
      <c r="F34" s="359"/>
      <c r="G34" s="359"/>
      <c r="H34" s="359"/>
      <c r="I34" s="359"/>
      <c r="J34" s="360"/>
      <c r="K34" s="230"/>
      <c r="L34" s="230"/>
      <c r="M34" s="230"/>
    </row>
    <row r="35" spans="1:19" ht="13.5" hidden="1" customHeight="1" x14ac:dyDescent="0.3">
      <c r="A35" s="155"/>
      <c r="B35" s="358" t="s">
        <v>207</v>
      </c>
      <c r="C35" s="359"/>
      <c r="D35" s="359"/>
      <c r="E35" s="359"/>
      <c r="F35" s="359"/>
      <c r="G35" s="359"/>
      <c r="H35" s="359"/>
      <c r="I35" s="359"/>
      <c r="J35" s="360"/>
      <c r="K35" s="230"/>
      <c r="L35" s="230"/>
      <c r="M35" s="230"/>
    </row>
    <row r="36" spans="1:19" ht="13.5" hidden="1" customHeight="1" x14ac:dyDescent="0.3">
      <c r="A36" s="155"/>
      <c r="B36" s="362" t="s">
        <v>152</v>
      </c>
      <c r="C36" s="359"/>
      <c r="D36" s="156">
        <v>3486594</v>
      </c>
      <c r="E36" s="162"/>
      <c r="F36" s="162"/>
      <c r="G36" s="162"/>
      <c r="H36" s="162"/>
      <c r="I36" s="162"/>
      <c r="J36" s="163"/>
      <c r="K36" s="230"/>
      <c r="L36" s="230"/>
      <c r="M36" s="230"/>
    </row>
    <row r="37" spans="1:19" ht="13.5" hidden="1" customHeight="1" x14ac:dyDescent="0.3">
      <c r="A37" s="155"/>
      <c r="B37" s="355" t="s">
        <v>131</v>
      </c>
      <c r="C37" s="356"/>
      <c r="D37" s="356"/>
      <c r="E37" s="356"/>
      <c r="F37" s="164">
        <v>8486594</v>
      </c>
      <c r="G37" s="165"/>
      <c r="H37" s="165"/>
      <c r="I37" s="165"/>
      <c r="J37" s="166"/>
      <c r="K37" s="230"/>
      <c r="L37" s="230"/>
      <c r="M37" s="230"/>
    </row>
    <row r="38" spans="1:19" ht="13.5" hidden="1" customHeight="1" x14ac:dyDescent="0.3">
      <c r="A38" s="154"/>
      <c r="B38" s="168" t="s">
        <v>130</v>
      </c>
      <c r="C38" s="167">
        <v>6.0100000000000001E-2</v>
      </c>
      <c r="D38" s="168"/>
      <c r="E38" s="168"/>
      <c r="F38" s="168"/>
      <c r="G38" s="168"/>
      <c r="H38" s="168"/>
      <c r="I38" s="168"/>
      <c r="J38" s="169"/>
      <c r="K38" s="230"/>
      <c r="L38" s="230"/>
      <c r="M38" s="230"/>
    </row>
    <row r="39" spans="1:19" ht="13.5" customHeight="1" x14ac:dyDescent="0.3">
      <c r="A39" s="153" t="s">
        <v>60</v>
      </c>
      <c r="B39" s="352" t="s">
        <v>132</v>
      </c>
      <c r="C39" s="353"/>
      <c r="D39" s="353"/>
      <c r="E39" s="353"/>
      <c r="F39" s="353"/>
      <c r="G39" s="353"/>
      <c r="H39" s="353"/>
      <c r="I39" s="353"/>
      <c r="J39" s="354"/>
      <c r="K39" s="230"/>
      <c r="L39" s="230"/>
      <c r="M39" s="230"/>
    </row>
    <row r="40" spans="1:19" ht="81.599999999999994" customHeight="1" x14ac:dyDescent="0.3">
      <c r="A40" s="170"/>
      <c r="B40" s="490" t="s">
        <v>267</v>
      </c>
      <c r="C40" s="391"/>
      <c r="D40" s="391"/>
      <c r="E40" s="391"/>
      <c r="F40" s="391"/>
      <c r="G40" s="391"/>
      <c r="H40" s="391"/>
      <c r="I40" s="391"/>
      <c r="J40" s="392"/>
      <c r="K40" s="230"/>
      <c r="L40" s="230"/>
      <c r="M40" s="230"/>
    </row>
    <row r="41" spans="1:19" ht="19.5" customHeight="1" x14ac:dyDescent="0.3">
      <c r="A41" s="153" t="s">
        <v>61</v>
      </c>
      <c r="B41" s="352" t="s">
        <v>210</v>
      </c>
      <c r="C41" s="353"/>
      <c r="D41" s="353"/>
      <c r="E41" s="353"/>
      <c r="F41" s="353"/>
      <c r="G41" s="353"/>
      <c r="H41" s="353"/>
      <c r="I41" s="353"/>
      <c r="J41" s="354"/>
      <c r="K41" s="230"/>
      <c r="L41" s="230"/>
      <c r="M41" s="230"/>
    </row>
    <row r="42" spans="1:19" s="233" customFormat="1" ht="123.6" customHeight="1" x14ac:dyDescent="0.3">
      <c r="A42" s="154"/>
      <c r="B42" s="355" t="s">
        <v>295</v>
      </c>
      <c r="C42" s="356"/>
      <c r="D42" s="356"/>
      <c r="E42" s="356"/>
      <c r="F42" s="356"/>
      <c r="G42" s="356"/>
      <c r="H42" s="356"/>
      <c r="I42" s="356"/>
      <c r="J42" s="357"/>
      <c r="K42" s="232"/>
      <c r="L42" s="232"/>
      <c r="M42" s="232"/>
    </row>
    <row r="43" spans="1:19" ht="15.75" customHeight="1" x14ac:dyDescent="0.3">
      <c r="A43" s="361" t="s">
        <v>62</v>
      </c>
      <c r="B43" s="352" t="s">
        <v>211</v>
      </c>
      <c r="C43" s="353"/>
      <c r="D43" s="353"/>
      <c r="E43" s="353"/>
      <c r="F43" s="353"/>
      <c r="G43" s="353"/>
      <c r="H43" s="353"/>
      <c r="I43" s="353"/>
      <c r="J43" s="354"/>
      <c r="K43" s="230"/>
      <c r="L43" s="230"/>
      <c r="M43" s="230"/>
    </row>
    <row r="44" spans="1:19" ht="140.4" customHeight="1" x14ac:dyDescent="0.3">
      <c r="A44" s="361"/>
      <c r="B44" s="362" t="s">
        <v>296</v>
      </c>
      <c r="C44" s="391"/>
      <c r="D44" s="391"/>
      <c r="E44" s="391"/>
      <c r="F44" s="391"/>
      <c r="G44" s="391"/>
      <c r="H44" s="391"/>
      <c r="I44" s="391"/>
      <c r="J44" s="392"/>
      <c r="K44" s="230"/>
      <c r="L44" s="230"/>
      <c r="M44" s="237"/>
      <c r="N44" s="238"/>
      <c r="O44" s="238"/>
      <c r="P44" s="238"/>
      <c r="Q44" s="238"/>
      <c r="R44" s="238"/>
      <c r="S44" s="238"/>
    </row>
    <row r="45" spans="1:19" s="233" customFormat="1" ht="41.25" customHeight="1" x14ac:dyDescent="0.3">
      <c r="A45" s="361"/>
      <c r="B45" s="355" t="str">
        <f>CONCATENATE("A kölcsön törlesztése havi részletekben történik, a törlesztő részletek száma ",ROUND(Calc!C3,0), " a törlesztőrészlet ", ROUND(Calc!H26,0), " Ft.", "A törlesztő részletek minden hónap 15-én esedékesek. Ha az esedékesség napja munkaszüneti nap vagy bankszünnap, úgy a fizetési határidő napja a munkaszüneti napot vagy bankszünnapot közvetlenül követő munkanap.")</f>
        <v>A kölcsön törlesztése havi részletekben történik, a törlesztő részletek száma 240 a törlesztőrészlet 55460 Ft.A törlesztő részletek minden hónap 15-én esedékesek. Ha az esedékesség napja munkaszüneti nap vagy bankszünnap, úgy a fizetési határidő napja a munkaszüneti napot vagy bankszünnapot közvetlenül követő munkanap.</v>
      </c>
      <c r="C45" s="356"/>
      <c r="D45" s="356"/>
      <c r="E45" s="356"/>
      <c r="F45" s="356"/>
      <c r="G45" s="356"/>
      <c r="H45" s="356"/>
      <c r="I45" s="356"/>
      <c r="J45" s="357"/>
      <c r="K45" s="232"/>
      <c r="L45" s="232"/>
      <c r="M45" s="232"/>
    </row>
    <row r="46" spans="1:19" ht="21" customHeight="1" x14ac:dyDescent="0.3">
      <c r="A46" s="361" t="s">
        <v>133</v>
      </c>
      <c r="B46" s="352" t="s">
        <v>212</v>
      </c>
      <c r="C46" s="353"/>
      <c r="D46" s="353"/>
      <c r="E46" s="353"/>
      <c r="F46" s="353"/>
      <c r="G46" s="353"/>
      <c r="H46" s="353"/>
      <c r="I46" s="353"/>
      <c r="J46" s="354"/>
      <c r="K46" s="230"/>
      <c r="L46" s="230"/>
      <c r="M46" s="230"/>
    </row>
    <row r="47" spans="1:19" s="233" customFormat="1" ht="174" customHeight="1" x14ac:dyDescent="0.3">
      <c r="A47" s="361"/>
      <c r="B47" s="355" t="s">
        <v>273</v>
      </c>
      <c r="C47" s="356"/>
      <c r="D47" s="356"/>
      <c r="E47" s="356"/>
      <c r="F47" s="356"/>
      <c r="G47" s="356"/>
      <c r="H47" s="356"/>
      <c r="I47" s="356"/>
      <c r="J47" s="357"/>
      <c r="K47" s="232"/>
      <c r="L47" s="232"/>
      <c r="M47" s="232"/>
    </row>
    <row r="48" spans="1:19" ht="121.95" customHeight="1" x14ac:dyDescent="0.3">
      <c r="A48" s="231" t="s">
        <v>134</v>
      </c>
      <c r="B48" s="542" t="s">
        <v>290</v>
      </c>
      <c r="C48" s="543"/>
      <c r="D48" s="543"/>
      <c r="E48" s="543"/>
      <c r="F48" s="543"/>
      <c r="G48" s="543"/>
      <c r="H48" s="543"/>
      <c r="I48" s="543"/>
      <c r="J48" s="544"/>
      <c r="K48" s="230"/>
      <c r="L48" s="230"/>
      <c r="M48" s="230"/>
    </row>
    <row r="49" spans="1:13" s="233" customFormat="1" ht="126" customHeight="1" x14ac:dyDescent="0.3">
      <c r="A49" s="231" t="s">
        <v>135</v>
      </c>
      <c r="B49" s="363" t="s">
        <v>291</v>
      </c>
      <c r="C49" s="364"/>
      <c r="D49" s="364"/>
      <c r="E49" s="364"/>
      <c r="F49" s="364"/>
      <c r="G49" s="364"/>
      <c r="H49" s="364"/>
      <c r="I49" s="364"/>
      <c r="J49" s="365"/>
      <c r="K49" s="232"/>
      <c r="L49" s="232"/>
      <c r="M49" s="232"/>
    </row>
    <row r="50" spans="1:13" ht="148.94999999999999" customHeight="1" x14ac:dyDescent="0.3">
      <c r="A50" s="231" t="s">
        <v>136</v>
      </c>
      <c r="B50" s="355" t="s">
        <v>297</v>
      </c>
      <c r="C50" s="356"/>
      <c r="D50" s="356"/>
      <c r="E50" s="356"/>
      <c r="F50" s="356"/>
      <c r="G50" s="356"/>
      <c r="H50" s="356"/>
      <c r="I50" s="356"/>
      <c r="J50" s="357"/>
      <c r="K50" s="230"/>
      <c r="L50" s="230"/>
      <c r="M50" s="230"/>
    </row>
    <row r="51" spans="1:13" ht="13.2" customHeight="1" x14ac:dyDescent="0.3">
      <c r="A51" s="514" t="s">
        <v>137</v>
      </c>
      <c r="B51" s="352" t="s">
        <v>213</v>
      </c>
      <c r="C51" s="353"/>
      <c r="D51" s="353"/>
      <c r="E51" s="353"/>
      <c r="F51" s="353"/>
      <c r="G51" s="353"/>
      <c r="H51" s="353"/>
      <c r="I51" s="353"/>
      <c r="J51" s="354"/>
      <c r="K51" s="230"/>
      <c r="L51" s="230"/>
      <c r="M51" s="230"/>
    </row>
    <row r="52" spans="1:13" ht="91.95" customHeight="1" x14ac:dyDescent="0.3">
      <c r="A52" s="515"/>
      <c r="B52" s="355" t="s">
        <v>298</v>
      </c>
      <c r="C52" s="356"/>
      <c r="D52" s="356"/>
      <c r="E52" s="356"/>
      <c r="F52" s="356"/>
      <c r="G52" s="356"/>
      <c r="H52" s="356"/>
      <c r="I52" s="356"/>
      <c r="J52" s="357"/>
      <c r="K52" s="230"/>
      <c r="L52" s="230"/>
      <c r="M52" s="230"/>
    </row>
    <row r="53" spans="1:13" ht="15" customHeight="1" x14ac:dyDescent="0.3">
      <c r="A53" s="302" t="s">
        <v>255</v>
      </c>
      <c r="B53" s="352" t="s">
        <v>256</v>
      </c>
      <c r="C53" s="353"/>
      <c r="D53" s="353"/>
      <c r="E53" s="353"/>
      <c r="F53" s="353"/>
      <c r="G53" s="353"/>
      <c r="H53" s="353"/>
      <c r="I53" s="353"/>
      <c r="J53" s="354"/>
      <c r="K53" s="230"/>
      <c r="L53" s="230"/>
      <c r="M53" s="230"/>
    </row>
    <row r="54" spans="1:13" ht="55.2" customHeight="1" x14ac:dyDescent="0.3">
      <c r="A54" s="302"/>
      <c r="B54" s="516" t="s">
        <v>257</v>
      </c>
      <c r="C54" s="517"/>
      <c r="D54" s="517"/>
      <c r="E54" s="517"/>
      <c r="F54" s="517"/>
      <c r="G54" s="517"/>
      <c r="H54" s="517"/>
      <c r="I54" s="517"/>
      <c r="J54" s="517"/>
      <c r="K54" s="230"/>
      <c r="L54" s="230"/>
      <c r="M54" s="230"/>
    </row>
    <row r="55" spans="1:13" ht="71.25" customHeight="1" x14ac:dyDescent="0.3">
      <c r="A55" s="302"/>
      <c r="B55" s="516" t="s">
        <v>258</v>
      </c>
      <c r="C55" s="517"/>
      <c r="D55" s="517"/>
      <c r="E55" s="517"/>
      <c r="F55" s="517"/>
      <c r="G55" s="517"/>
      <c r="H55" s="517"/>
      <c r="I55" s="517"/>
      <c r="J55" s="517"/>
      <c r="K55" s="230"/>
      <c r="L55" s="230"/>
      <c r="M55" s="230"/>
    </row>
    <row r="56" spans="1:13" ht="12" customHeight="1" x14ac:dyDescent="0.3">
      <c r="A56" s="302"/>
      <c r="B56" s="362" t="s">
        <v>259</v>
      </c>
      <c r="C56" s="391"/>
      <c r="D56" s="391"/>
      <c r="E56" s="518" t="s">
        <v>261</v>
      </c>
      <c r="F56" s="518"/>
      <c r="G56" s="518"/>
      <c r="H56" s="518"/>
      <c r="I56" s="517" t="s">
        <v>260</v>
      </c>
      <c r="J56" s="517"/>
      <c r="K56" s="230"/>
      <c r="L56" s="230"/>
      <c r="M56" s="230"/>
    </row>
    <row r="57" spans="1:13" ht="47.25" customHeight="1" x14ac:dyDescent="0.3">
      <c r="A57" s="302"/>
      <c r="B57" s="516" t="s">
        <v>262</v>
      </c>
      <c r="C57" s="517"/>
      <c r="D57" s="517"/>
      <c r="E57" s="517"/>
      <c r="F57" s="517"/>
      <c r="G57" s="517"/>
      <c r="H57" s="517"/>
      <c r="I57" s="517"/>
      <c r="J57" s="517"/>
      <c r="K57" s="230"/>
      <c r="L57" s="230"/>
      <c r="M57" s="230"/>
    </row>
    <row r="58" spans="1:13" ht="13.5" customHeight="1" x14ac:dyDescent="0.3">
      <c r="A58" s="302"/>
      <c r="B58" s="352" t="s">
        <v>263</v>
      </c>
      <c r="C58" s="353"/>
      <c r="D58" s="353"/>
      <c r="E58" s="353"/>
      <c r="F58" s="353"/>
      <c r="G58" s="353"/>
      <c r="H58" s="353"/>
      <c r="I58" s="353"/>
      <c r="J58" s="354"/>
      <c r="K58" s="230"/>
      <c r="L58" s="230"/>
      <c r="M58" s="230"/>
    </row>
    <row r="59" spans="1:13" ht="48.75" customHeight="1" x14ac:dyDescent="0.3">
      <c r="A59" s="302"/>
      <c r="B59" s="516" t="s">
        <v>264</v>
      </c>
      <c r="C59" s="517"/>
      <c r="D59" s="517"/>
      <c r="E59" s="517"/>
      <c r="F59" s="517"/>
      <c r="G59" s="517"/>
      <c r="H59" s="517"/>
      <c r="I59" s="517"/>
      <c r="J59" s="517"/>
      <c r="K59" s="230"/>
      <c r="L59" s="230"/>
      <c r="M59" s="230"/>
    </row>
    <row r="60" spans="1:13" ht="11.25" customHeight="1" x14ac:dyDescent="0.3">
      <c r="A60" s="302"/>
      <c r="B60" s="516" t="s">
        <v>265</v>
      </c>
      <c r="C60" s="517"/>
      <c r="D60" s="517"/>
      <c r="E60" s="517"/>
      <c r="F60" s="517"/>
      <c r="G60" s="517"/>
      <c r="H60" s="517"/>
      <c r="I60" s="517"/>
      <c r="J60" s="517"/>
      <c r="K60" s="230"/>
      <c r="L60" s="230"/>
      <c r="M60" s="230"/>
    </row>
    <row r="61" spans="1:13" ht="11.25" customHeight="1" x14ac:dyDescent="0.3">
      <c r="A61" s="303"/>
      <c r="B61" s="521" t="s">
        <v>266</v>
      </c>
      <c r="C61" s="522"/>
      <c r="D61" s="522"/>
      <c r="E61" s="522"/>
      <c r="F61" s="522"/>
      <c r="G61" s="522"/>
      <c r="H61" s="522"/>
      <c r="I61" s="522"/>
      <c r="J61" s="522"/>
      <c r="K61" s="230"/>
      <c r="L61" s="230"/>
      <c r="M61" s="230"/>
    </row>
    <row r="62" spans="1:13" ht="44.25" customHeight="1" x14ac:dyDescent="0.3">
      <c r="A62" s="155"/>
      <c r="B62" s="523" t="s">
        <v>214</v>
      </c>
      <c r="C62" s="524"/>
      <c r="D62" s="524"/>
      <c r="E62" s="524"/>
      <c r="F62" s="524"/>
      <c r="G62" s="524"/>
      <c r="H62" s="524"/>
      <c r="I62" s="524"/>
      <c r="J62" s="525"/>
      <c r="K62" s="230"/>
      <c r="L62" s="230"/>
      <c r="M62" s="230"/>
    </row>
    <row r="63" spans="1:13" ht="15.75" customHeight="1" x14ac:dyDescent="0.3">
      <c r="A63" s="155"/>
      <c r="B63" s="519" t="s">
        <v>138</v>
      </c>
      <c r="C63" s="520"/>
      <c r="D63" s="317">
        <f ca="1">TODAY()</f>
        <v>45408</v>
      </c>
      <c r="E63" s="526" t="str">
        <f>CONCATENATE("napján"," ",C3," ","számára készült")</f>
        <v>napján  számára készült</v>
      </c>
      <c r="F63" s="526"/>
      <c r="G63" s="526"/>
      <c r="H63" s="526"/>
      <c r="I63" s="526"/>
      <c r="J63" s="527"/>
      <c r="K63" s="230"/>
      <c r="L63" s="230"/>
      <c r="M63" s="230"/>
    </row>
    <row r="64" spans="1:13" ht="15" customHeight="1" x14ac:dyDescent="0.3">
      <c r="A64" s="155"/>
      <c r="B64" s="369" t="s">
        <v>139</v>
      </c>
      <c r="C64" s="370"/>
      <c r="D64" s="370"/>
      <c r="E64" s="370"/>
      <c r="F64" s="370"/>
      <c r="G64" s="370"/>
      <c r="H64" s="370"/>
      <c r="I64" s="370"/>
      <c r="J64" s="371"/>
      <c r="K64" s="230"/>
      <c r="L64" s="230"/>
      <c r="M64" s="230"/>
    </row>
    <row r="65" spans="1:13" ht="14.25" customHeight="1" x14ac:dyDescent="0.3">
      <c r="A65" s="155"/>
      <c r="B65" s="368" t="s">
        <v>140</v>
      </c>
      <c r="C65" s="350"/>
      <c r="D65" s="318">
        <f ca="1">D63+15</f>
        <v>45423</v>
      </c>
      <c r="E65" s="350" t="s">
        <v>141</v>
      </c>
      <c r="F65" s="350"/>
      <c r="G65" s="350"/>
      <c r="H65" s="350"/>
      <c r="I65" s="350"/>
      <c r="J65" s="351"/>
      <c r="K65" s="230"/>
      <c r="L65" s="230"/>
      <c r="M65" s="230"/>
    </row>
    <row r="66" spans="1:13" ht="54" customHeight="1" x14ac:dyDescent="0.3">
      <c r="A66" s="154"/>
      <c r="B66" s="533" t="s">
        <v>215</v>
      </c>
      <c r="C66" s="534"/>
      <c r="D66" s="534"/>
      <c r="E66" s="534"/>
      <c r="F66" s="534"/>
      <c r="G66" s="534"/>
      <c r="H66" s="534"/>
      <c r="I66" s="534"/>
      <c r="J66" s="534"/>
      <c r="K66" s="230"/>
      <c r="L66" s="230"/>
      <c r="M66" s="230"/>
    </row>
    <row r="67" spans="1:13" ht="51.75" customHeight="1" x14ac:dyDescent="0.3">
      <c r="A67" s="239" t="s">
        <v>142</v>
      </c>
      <c r="B67" s="344" t="s">
        <v>216</v>
      </c>
      <c r="C67" s="345"/>
      <c r="D67" s="345"/>
      <c r="E67" s="345"/>
      <c r="F67" s="345"/>
      <c r="G67" s="345"/>
      <c r="H67" s="345"/>
      <c r="I67" s="345"/>
      <c r="J67" s="346"/>
      <c r="K67" s="230"/>
      <c r="L67" s="230"/>
      <c r="M67" s="230"/>
    </row>
    <row r="68" spans="1:13" ht="23.25" customHeight="1" x14ac:dyDescent="0.3">
      <c r="A68" s="509" t="s">
        <v>143</v>
      </c>
      <c r="B68" s="512" t="s">
        <v>227</v>
      </c>
      <c r="C68" s="513"/>
      <c r="D68" s="513"/>
      <c r="E68" s="513"/>
      <c r="F68" s="531">
        <f>IF(L9=2,F9,E6)</f>
        <v>0</v>
      </c>
      <c r="G68" s="531"/>
      <c r="H68" s="531"/>
      <c r="I68" s="531"/>
      <c r="J68" s="532"/>
      <c r="K68" s="230"/>
      <c r="L68" s="230"/>
      <c r="M68" s="230"/>
    </row>
    <row r="69" spans="1:13" ht="12" customHeight="1" x14ac:dyDescent="0.3">
      <c r="A69" s="510"/>
      <c r="B69" s="506" t="s">
        <v>228</v>
      </c>
      <c r="C69" s="507"/>
      <c r="D69" s="507"/>
      <c r="E69" s="507"/>
      <c r="F69" s="531">
        <f>IF(L10=2,F10,E7)</f>
        <v>0</v>
      </c>
      <c r="G69" s="531"/>
      <c r="H69" s="531"/>
      <c r="I69" s="531"/>
      <c r="J69" s="532"/>
      <c r="K69" s="230"/>
      <c r="L69" s="230"/>
      <c r="M69" s="230"/>
    </row>
    <row r="70" spans="1:13" ht="15" customHeight="1" x14ac:dyDescent="0.3">
      <c r="A70" s="511"/>
      <c r="B70" s="366" t="s">
        <v>229</v>
      </c>
      <c r="C70" s="367"/>
      <c r="D70" s="367"/>
      <c r="E70" s="367"/>
      <c r="F70" s="531">
        <f>IF(L11=2,F11,E8)</f>
        <v>0</v>
      </c>
      <c r="G70" s="531"/>
      <c r="H70" s="531"/>
      <c r="I70" s="531"/>
      <c r="J70" s="532"/>
      <c r="K70" s="230"/>
      <c r="L70" s="230"/>
      <c r="M70" s="230"/>
    </row>
    <row r="71" spans="1:13" ht="15" customHeight="1" x14ac:dyDescent="0.3">
      <c r="A71" s="509" t="s">
        <v>144</v>
      </c>
      <c r="B71" s="512" t="s">
        <v>195</v>
      </c>
      <c r="C71" s="513"/>
      <c r="D71" s="513"/>
      <c r="E71" s="405" t="str">
        <f>IF(F68&gt;0,Munka1!A5,"")</f>
        <v/>
      </c>
      <c r="F71" s="405"/>
      <c r="G71" s="405"/>
      <c r="H71" s="405"/>
      <c r="I71" s="405"/>
      <c r="J71" s="406"/>
      <c r="K71" s="230"/>
      <c r="L71" s="230"/>
      <c r="M71" s="230"/>
    </row>
    <row r="72" spans="1:13" ht="15" customHeight="1" x14ac:dyDescent="0.3">
      <c r="A72" s="510"/>
      <c r="B72" s="506" t="s">
        <v>196</v>
      </c>
      <c r="C72" s="507"/>
      <c r="D72" s="507"/>
      <c r="E72" s="261" t="str">
        <f>IF(F68&gt;0,Calc!C2*1.6%,"")</f>
        <v/>
      </c>
      <c r="F72" s="373" t="str">
        <f>IF(F68&gt;0,Munka1!A6,"")</f>
        <v/>
      </c>
      <c r="G72" s="373"/>
      <c r="H72" s="373"/>
      <c r="I72" s="373"/>
      <c r="J72" s="374"/>
      <c r="K72" s="230"/>
      <c r="L72" s="230"/>
      <c r="M72" s="230"/>
    </row>
    <row r="73" spans="1:13" ht="25.5" customHeight="1" x14ac:dyDescent="0.3">
      <c r="A73" s="510"/>
      <c r="B73" s="506"/>
      <c r="C73" s="507"/>
      <c r="D73" s="507"/>
      <c r="E73" s="261" t="str">
        <f>IF(F68&gt;0,Calc!C2*0.4%,"")</f>
        <v/>
      </c>
      <c r="F73" s="373" t="str">
        <f>IF(F68&gt;0,Munka1!A7,"")</f>
        <v/>
      </c>
      <c r="G73" s="373"/>
      <c r="H73" s="373"/>
      <c r="I73" s="373"/>
      <c r="J73" s="374"/>
      <c r="K73" s="230"/>
      <c r="L73" s="230"/>
      <c r="M73" s="230"/>
    </row>
    <row r="74" spans="1:13" ht="78" customHeight="1" x14ac:dyDescent="0.3">
      <c r="A74" s="511"/>
      <c r="B74" s="366" t="s">
        <v>197</v>
      </c>
      <c r="C74" s="367"/>
      <c r="D74" s="429" t="str">
        <f>IF(F68&gt;0,Munka1!A8,"")</f>
        <v/>
      </c>
      <c r="E74" s="429"/>
      <c r="F74" s="429"/>
      <c r="G74" s="429"/>
      <c r="H74" s="429"/>
      <c r="I74" s="429"/>
      <c r="J74" s="430"/>
      <c r="K74" s="230"/>
      <c r="L74" s="230"/>
      <c r="M74" s="230"/>
    </row>
    <row r="75" spans="1:13" ht="36" customHeight="1" x14ac:dyDescent="0.3">
      <c r="A75" s="239" t="s">
        <v>145</v>
      </c>
      <c r="B75" s="503" t="str">
        <f>CONCATENATE("A hitel összege és pénzneme:"," ",Calc!C2," ","Ft.")</f>
        <v>A hitel összege és pénzneme: 10000000 Ft.</v>
      </c>
      <c r="C75" s="504"/>
      <c r="D75" s="504"/>
      <c r="E75" s="504"/>
      <c r="F75" s="504"/>
      <c r="G75" s="504"/>
      <c r="H75" s="504"/>
      <c r="I75" s="504"/>
      <c r="J75" s="505"/>
      <c r="K75" s="230"/>
      <c r="L75" s="230"/>
      <c r="M75" s="230"/>
    </row>
    <row r="76" spans="1:13" ht="78.599999999999994" customHeight="1" x14ac:dyDescent="0.3">
      <c r="A76" s="239" t="s">
        <v>146</v>
      </c>
      <c r="B76" s="344" t="s">
        <v>299</v>
      </c>
      <c r="C76" s="345"/>
      <c r="D76" s="345"/>
      <c r="E76" s="345"/>
      <c r="F76" s="345"/>
      <c r="G76" s="345"/>
      <c r="H76" s="345"/>
      <c r="I76" s="345"/>
      <c r="J76" s="346"/>
      <c r="K76" s="230"/>
      <c r="L76" s="230"/>
      <c r="M76" s="230"/>
    </row>
    <row r="77" spans="1:13" ht="25.5" customHeight="1" x14ac:dyDescent="0.3">
      <c r="A77" s="240" t="s">
        <v>147</v>
      </c>
      <c r="B77" s="344" t="str">
        <f>CONCATENATE(Calc!C3," ","hónap")</f>
        <v>240 hónap</v>
      </c>
      <c r="C77" s="345"/>
      <c r="D77" s="345"/>
      <c r="E77" s="345"/>
      <c r="F77" s="345"/>
      <c r="G77" s="345"/>
      <c r="H77" s="345"/>
      <c r="I77" s="345"/>
      <c r="J77" s="346"/>
      <c r="K77" s="230"/>
      <c r="L77" s="230"/>
      <c r="M77" s="230"/>
    </row>
    <row r="78" spans="1:13" ht="29.25" customHeight="1" x14ac:dyDescent="0.3">
      <c r="A78" s="240" t="s">
        <v>148</v>
      </c>
      <c r="B78" s="344" t="str">
        <f>IF(Calc!G6=0,Munka1!A1,Munka1!A2)</f>
        <v xml:space="preserve">A hitel típusa: kamattámogatott lakáshitel annuitásos törlesztéssel, ahol a havi törlesztőrészletek összege állandó, a törlesztőrészleten belül a kamat és tőke aránya változó. </v>
      </c>
      <c r="C78" s="345"/>
      <c r="D78" s="345"/>
      <c r="E78" s="345"/>
      <c r="F78" s="345"/>
      <c r="G78" s="345"/>
      <c r="H78" s="345"/>
      <c r="I78" s="345"/>
      <c r="J78" s="346"/>
      <c r="K78" s="230"/>
      <c r="L78" s="230"/>
      <c r="M78" s="230"/>
    </row>
    <row r="79" spans="1:13" ht="33.75" customHeight="1" x14ac:dyDescent="0.3">
      <c r="A79" s="241" t="s">
        <v>149</v>
      </c>
      <c r="B79" s="344" t="s">
        <v>301</v>
      </c>
      <c r="C79" s="345"/>
      <c r="D79" s="345"/>
      <c r="E79" s="345"/>
      <c r="F79" s="345"/>
      <c r="G79" s="345"/>
      <c r="H79" s="345"/>
      <c r="I79" s="345"/>
      <c r="J79" s="346"/>
      <c r="K79" s="230"/>
      <c r="L79" s="230"/>
      <c r="M79" s="230"/>
    </row>
    <row r="80" spans="1:13" ht="23.25" customHeight="1" x14ac:dyDescent="0.3">
      <c r="A80" s="242" t="s">
        <v>150</v>
      </c>
      <c r="B80" s="407" t="str">
        <f>CONCATENATE("Az Ön által fizetendő teljes összeg"," ",ROUND(Calc!C21,0),", ez azt jelenti, hogy a"," ",Calc!C2," ","Ft"," ","összegért, amelyet hitelként felvesz"," ",ROUND(Calc!C21,0)," ","Ft-ot kell visszafizetnie.")</f>
        <v>Az Ön által fizetendő teljes összeg 13400924, ez azt jelenti, hogy a 10000000 Ft összegért, amelyet hitelként felvesz 13400924 Ft-ot kell visszafizetnie.</v>
      </c>
      <c r="C80" s="408"/>
      <c r="D80" s="408"/>
      <c r="E80" s="408"/>
      <c r="F80" s="408"/>
      <c r="G80" s="408"/>
      <c r="H80" s="408"/>
      <c r="I80" s="408"/>
      <c r="J80" s="409"/>
      <c r="K80" s="230"/>
      <c r="L80" s="230"/>
      <c r="M80" s="230"/>
    </row>
    <row r="81" spans="1:13" ht="14.25" customHeight="1" x14ac:dyDescent="0.3">
      <c r="A81" s="243"/>
      <c r="B81" s="428" t="s">
        <v>153</v>
      </c>
      <c r="C81" s="429"/>
      <c r="D81" s="429"/>
      <c r="E81" s="429"/>
      <c r="F81" s="429"/>
      <c r="G81" s="508">
        <f>ROUND(Calc!C22,0)</f>
        <v>3400924</v>
      </c>
      <c r="H81" s="508"/>
      <c r="I81" s="508"/>
      <c r="J81" s="508"/>
      <c r="K81" s="230"/>
      <c r="L81" s="230"/>
      <c r="M81" s="230"/>
    </row>
    <row r="82" spans="1:13" ht="31.5" customHeight="1" x14ac:dyDescent="0.3">
      <c r="A82" s="241" t="s">
        <v>154</v>
      </c>
      <c r="B82" s="410" t="s">
        <v>217</v>
      </c>
      <c r="C82" s="411"/>
      <c r="D82" s="411"/>
      <c r="E82" s="411"/>
      <c r="F82" s="411"/>
      <c r="G82" s="411"/>
      <c r="H82" s="411"/>
      <c r="I82" s="411"/>
      <c r="J82" s="412"/>
      <c r="K82" s="230"/>
      <c r="L82" s="230"/>
      <c r="M82" s="230"/>
    </row>
    <row r="83" spans="1:13" ht="14.25" customHeight="1" x14ac:dyDescent="0.3">
      <c r="A83" s="467" t="s">
        <v>155</v>
      </c>
      <c r="B83" s="372" t="s">
        <v>218</v>
      </c>
      <c r="C83" s="373"/>
      <c r="D83" s="373"/>
      <c r="E83" s="373"/>
      <c r="F83" s="373"/>
      <c r="G83" s="373"/>
      <c r="H83" s="373"/>
      <c r="I83" s="373"/>
      <c r="J83" s="502"/>
      <c r="K83" s="230"/>
      <c r="L83" s="230"/>
      <c r="M83" s="230"/>
    </row>
    <row r="84" spans="1:13" ht="12.75" customHeight="1" x14ac:dyDescent="0.3">
      <c r="A84" s="467"/>
      <c r="B84" s="372"/>
      <c r="C84" s="373"/>
      <c r="D84" s="373"/>
      <c r="E84" s="373"/>
      <c r="F84" s="373"/>
      <c r="G84" s="373"/>
      <c r="H84" s="373"/>
      <c r="I84" s="373"/>
      <c r="J84" s="502"/>
      <c r="K84" s="230"/>
      <c r="L84" s="230"/>
      <c r="M84" s="230"/>
    </row>
    <row r="85" spans="1:13" ht="48.75" customHeight="1" x14ac:dyDescent="0.3">
      <c r="A85" s="467"/>
      <c r="B85" s="372"/>
      <c r="C85" s="373"/>
      <c r="D85" s="373"/>
      <c r="E85" s="373"/>
      <c r="F85" s="373"/>
      <c r="G85" s="373"/>
      <c r="H85" s="373"/>
      <c r="I85" s="373"/>
      <c r="J85" s="502"/>
      <c r="K85" s="230"/>
      <c r="L85" s="230"/>
      <c r="M85" s="230"/>
    </row>
    <row r="86" spans="1:13" ht="25.5" customHeight="1" x14ac:dyDescent="0.3">
      <c r="A86" s="467" t="s">
        <v>156</v>
      </c>
      <c r="B86" s="404" t="s">
        <v>219</v>
      </c>
      <c r="C86" s="405"/>
      <c r="D86" s="405"/>
      <c r="E86" s="405"/>
      <c r="F86" s="405"/>
      <c r="G86" s="405"/>
      <c r="H86" s="405"/>
      <c r="I86" s="405"/>
      <c r="J86" s="406"/>
      <c r="K86" s="230"/>
      <c r="L86" s="230"/>
      <c r="M86" s="230"/>
    </row>
    <row r="87" spans="1:13" ht="12.75" customHeight="1" x14ac:dyDescent="0.3">
      <c r="A87" s="467"/>
      <c r="B87" s="372" t="s">
        <v>157</v>
      </c>
      <c r="C87" s="373"/>
      <c r="D87" s="373"/>
      <c r="E87" s="373"/>
      <c r="F87" s="220">
        <f>Calc!F3</f>
        <v>3.1226375998649525E-2</v>
      </c>
      <c r="G87" s="221"/>
      <c r="H87" s="221"/>
      <c r="I87" s="221"/>
      <c r="J87" s="222"/>
      <c r="K87" s="230"/>
      <c r="L87" s="230"/>
      <c r="M87" s="230"/>
    </row>
    <row r="88" spans="1:13" ht="13.8" x14ac:dyDescent="0.3">
      <c r="A88" s="467"/>
      <c r="B88" s="372" t="s">
        <v>158</v>
      </c>
      <c r="C88" s="373"/>
      <c r="D88" s="373"/>
      <c r="E88" s="373"/>
      <c r="F88" s="373"/>
      <c r="G88" s="373"/>
      <c r="H88" s="373"/>
      <c r="I88" s="373"/>
      <c r="J88" s="374"/>
      <c r="K88" s="230"/>
      <c r="L88" s="230"/>
      <c r="M88" s="230"/>
    </row>
    <row r="89" spans="1:13" ht="15" customHeight="1" x14ac:dyDescent="0.3">
      <c r="A89" s="467"/>
      <c r="B89" s="372" t="s">
        <v>302</v>
      </c>
      <c r="C89" s="373"/>
      <c r="D89" s="373"/>
      <c r="E89" s="373"/>
      <c r="F89" s="220">
        <f>Calc!C4</f>
        <v>0.03</v>
      </c>
      <c r="G89" s="221"/>
      <c r="H89" s="221"/>
      <c r="I89" s="221"/>
      <c r="J89" s="222"/>
      <c r="K89" s="230"/>
      <c r="L89" s="230"/>
      <c r="M89" s="230"/>
    </row>
    <row r="90" spans="1:13" ht="35.25" customHeight="1" x14ac:dyDescent="0.3">
      <c r="A90" s="467"/>
      <c r="B90" s="372" t="s">
        <v>220</v>
      </c>
      <c r="C90" s="373"/>
      <c r="D90" s="373"/>
      <c r="E90" s="373"/>
      <c r="F90" s="373"/>
      <c r="G90" s="373"/>
      <c r="H90" s="373"/>
      <c r="I90" s="373"/>
      <c r="J90" s="374"/>
      <c r="K90" s="230"/>
      <c r="L90" s="230"/>
      <c r="M90" s="230"/>
    </row>
    <row r="91" spans="1:13" ht="27" customHeight="1" x14ac:dyDescent="0.3">
      <c r="A91" s="467"/>
      <c r="B91" s="372" t="s">
        <v>159</v>
      </c>
      <c r="C91" s="373"/>
      <c r="D91" s="223">
        <f>Calc!C15+Calc!C16</f>
        <v>0</v>
      </c>
      <c r="E91" s="373" t="str">
        <f>IF(D91=0,Munka1!A22," ")</f>
        <v>A Bank a hitel folyósítását követően visszatéríti az értékbecslés végzésekor az értékbecslőnek számla ellenében kifizetett díjat.</v>
      </c>
      <c r="F91" s="373"/>
      <c r="G91" s="373"/>
      <c r="H91" s="373"/>
      <c r="I91" s="373"/>
      <c r="J91" s="374"/>
      <c r="K91" s="230"/>
      <c r="L91" s="230"/>
      <c r="M91" s="230"/>
    </row>
    <row r="92" spans="1:13" ht="12" customHeight="1" x14ac:dyDescent="0.3">
      <c r="A92" s="467"/>
      <c r="B92" s="372" t="s">
        <v>161</v>
      </c>
      <c r="C92" s="373"/>
      <c r="D92" s="224">
        <v>0</v>
      </c>
      <c r="E92" s="373" t="str">
        <f>IF(D92=0,Munka1!A23," ")</f>
        <v>A Bank akció keretében nem számítja fel a folyósításra kerül összeg 1%-a, de maximum 200 000 Ft folyósítási jutalékot.</v>
      </c>
      <c r="F92" s="373"/>
      <c r="G92" s="373"/>
      <c r="H92" s="373"/>
      <c r="I92" s="373"/>
      <c r="J92" s="374"/>
      <c r="K92" s="230"/>
      <c r="L92" s="230"/>
      <c r="M92" s="230"/>
    </row>
    <row r="93" spans="1:13" ht="24.75" customHeight="1" x14ac:dyDescent="0.3">
      <c r="A93" s="467"/>
      <c r="B93" s="372" t="s">
        <v>247</v>
      </c>
      <c r="C93" s="373"/>
      <c r="D93" s="224">
        <f>+Calc!C19</f>
        <v>0</v>
      </c>
      <c r="E93" s="373" t="str">
        <f>IF(D93=0,Munka1!A24," ")</f>
        <v xml:space="preserve">A hitelügyletben szereplő ingatlan(ok)hoz tartozóan hitelügyletenként 2 darab tulajdoni lap másolat TAKARNET rendszerből történő lekérdezésének díját a Bank 0 Ft-ban állapítja meg. </v>
      </c>
      <c r="F93" s="373"/>
      <c r="G93" s="373"/>
      <c r="H93" s="373"/>
      <c r="I93" s="373"/>
      <c r="J93" s="374"/>
      <c r="K93" s="230"/>
      <c r="L93" s="230"/>
      <c r="M93" s="230"/>
    </row>
    <row r="94" spans="1:13" ht="24.75" customHeight="1" x14ac:dyDescent="0.3">
      <c r="A94" s="467"/>
      <c r="B94" s="372" t="s">
        <v>248</v>
      </c>
      <c r="C94" s="373"/>
      <c r="D94" s="224">
        <f>+Calc!C20</f>
        <v>0</v>
      </c>
      <c r="E94" s="373" t="str">
        <f>IF(D94=0,Munka1!A25," ")</f>
        <v>A hitelügyletben szereplő ingatlan(ok)hoz tartozóan hitelügyletenként 1 darab térképmásolat TAKARNET rendszerből történő lekérdezésének díját a Bank 0 Ft-ban állapítja meg.</v>
      </c>
      <c r="F94" s="373"/>
      <c r="G94" s="373"/>
      <c r="H94" s="373"/>
      <c r="I94" s="373"/>
      <c r="J94" s="374"/>
      <c r="K94" s="230"/>
      <c r="L94" s="230"/>
      <c r="M94" s="230"/>
    </row>
    <row r="95" spans="1:13" ht="13.8" x14ac:dyDescent="0.3">
      <c r="A95" s="467"/>
      <c r="B95" s="372" t="s">
        <v>163</v>
      </c>
      <c r="C95" s="373"/>
      <c r="D95" s="373"/>
      <c r="E95" s="373"/>
      <c r="F95" s="373"/>
      <c r="G95" s="373"/>
      <c r="H95" s="373"/>
      <c r="I95" s="373"/>
      <c r="J95" s="374"/>
      <c r="K95" s="230"/>
      <c r="L95" s="230"/>
      <c r="M95" s="230"/>
    </row>
    <row r="96" spans="1:13" ht="48" customHeight="1" x14ac:dyDescent="0.3">
      <c r="A96" s="467"/>
      <c r="B96" s="372" t="s">
        <v>164</v>
      </c>
      <c r="C96" s="373"/>
      <c r="D96" s="373"/>
      <c r="E96" s="223">
        <f>Calc!C17</f>
        <v>325</v>
      </c>
      <c r="F96" s="373" t="s">
        <v>91</v>
      </c>
      <c r="G96" s="373"/>
      <c r="H96" s="373"/>
      <c r="I96" s="373"/>
      <c r="J96" s="374"/>
      <c r="K96" s="230"/>
      <c r="L96" s="230"/>
      <c r="M96" s="230"/>
    </row>
    <row r="97" spans="1:13" ht="66.75" customHeight="1" x14ac:dyDescent="0.3">
      <c r="A97" s="467"/>
      <c r="B97" s="401" t="s">
        <v>221</v>
      </c>
      <c r="C97" s="402"/>
      <c r="D97" s="402"/>
      <c r="E97" s="402"/>
      <c r="F97" s="402"/>
      <c r="G97" s="402"/>
      <c r="H97" s="402"/>
      <c r="I97" s="402"/>
      <c r="J97" s="403"/>
      <c r="K97" s="230"/>
      <c r="L97" s="230"/>
      <c r="M97" s="230"/>
    </row>
    <row r="98" spans="1:13" ht="24" customHeight="1" x14ac:dyDescent="0.3">
      <c r="A98" s="241" t="s">
        <v>165</v>
      </c>
      <c r="B98" s="344" t="str">
        <f>CONCATENATE("Törlesztések gyakorisága: havonta."," ","Törlesztések száma:"," ",Calc!C3)</f>
        <v>Törlesztések gyakorisága: havonta. Törlesztések száma: 240</v>
      </c>
      <c r="C98" s="345"/>
      <c r="D98" s="345"/>
      <c r="E98" s="345"/>
      <c r="F98" s="345"/>
      <c r="G98" s="345"/>
      <c r="H98" s="345"/>
      <c r="I98" s="345"/>
      <c r="J98" s="346"/>
      <c r="K98" s="230"/>
      <c r="L98" s="230"/>
      <c r="M98" s="230"/>
    </row>
    <row r="99" spans="1:13" ht="41.25" customHeight="1" x14ac:dyDescent="0.3">
      <c r="A99" s="342" t="s">
        <v>166</v>
      </c>
      <c r="B99" s="344" t="str">
        <f>CONCATENATE("Törlesztő részlet az első 1 éves kamatperiódusra, amely időszakra a kamat rögzített: ",ROUND(Calc!G9,0)," Ft. ")</f>
        <v xml:space="preserve">Törlesztő részlet az első 1 éves kamatperiódusra, amely időszakra a kamat rögzített: 55460 Ft. </v>
      </c>
      <c r="C99" s="345"/>
      <c r="D99" s="345"/>
      <c r="E99" s="345"/>
      <c r="F99" s="345"/>
      <c r="G99" s="345"/>
      <c r="H99" s="345"/>
      <c r="I99" s="345"/>
      <c r="J99" s="171"/>
      <c r="K99" s="230"/>
      <c r="L99" s="230"/>
      <c r="M99" s="230"/>
    </row>
    <row r="100" spans="1:13" ht="12.75" customHeight="1" x14ac:dyDescent="0.3">
      <c r="A100" s="343"/>
      <c r="B100" s="344" t="s">
        <v>251</v>
      </c>
      <c r="C100" s="345"/>
      <c r="D100" s="345"/>
      <c r="E100" s="345"/>
      <c r="F100" s="345"/>
      <c r="G100" s="345"/>
      <c r="H100" s="345"/>
      <c r="I100" s="345"/>
      <c r="J100" s="346"/>
      <c r="K100" s="230"/>
      <c r="L100" s="230"/>
      <c r="M100" s="230"/>
    </row>
    <row r="101" spans="1:13" ht="13.8" x14ac:dyDescent="0.3">
      <c r="A101" s="413" t="s">
        <v>167</v>
      </c>
      <c r="B101" s="414" t="s">
        <v>44</v>
      </c>
      <c r="C101" s="415"/>
      <c r="D101" s="415"/>
      <c r="E101" s="415"/>
      <c r="F101" s="415"/>
      <c r="G101" s="415"/>
      <c r="H101" s="415"/>
      <c r="I101" s="415"/>
      <c r="J101" s="416"/>
      <c r="K101" s="230"/>
      <c r="L101" s="230"/>
      <c r="M101" s="230"/>
    </row>
    <row r="102" spans="1:13" ht="105" customHeight="1" x14ac:dyDescent="0.3">
      <c r="A102" s="413"/>
      <c r="B102" s="372" t="s">
        <v>200</v>
      </c>
      <c r="C102" s="373"/>
      <c r="D102" s="373"/>
      <c r="E102" s="373"/>
      <c r="F102" s="373"/>
      <c r="G102" s="373"/>
      <c r="H102" s="373"/>
      <c r="I102" s="373"/>
      <c r="J102" s="374"/>
      <c r="K102" s="230"/>
      <c r="L102" s="230"/>
    </row>
    <row r="103" spans="1:13" ht="13.8" x14ac:dyDescent="0.3">
      <c r="A103" s="413"/>
      <c r="B103" s="372" t="s">
        <v>45</v>
      </c>
      <c r="C103" s="373"/>
      <c r="D103" s="373"/>
      <c r="E103" s="373"/>
      <c r="F103" s="373"/>
      <c r="G103" s="373"/>
      <c r="H103" s="373"/>
      <c r="I103" s="373"/>
      <c r="J103" s="374"/>
      <c r="K103" s="230"/>
      <c r="L103" s="230"/>
      <c r="M103" s="230"/>
    </row>
    <row r="104" spans="1:13" ht="13.8" x14ac:dyDescent="0.3">
      <c r="A104" s="413"/>
      <c r="B104" s="172" t="s">
        <v>168</v>
      </c>
      <c r="C104" s="172" t="s">
        <v>169</v>
      </c>
      <c r="D104" s="172" t="s">
        <v>170</v>
      </c>
      <c r="E104" s="172" t="s">
        <v>171</v>
      </c>
      <c r="F104" s="172" t="s">
        <v>172</v>
      </c>
      <c r="G104" s="172" t="s">
        <v>173</v>
      </c>
      <c r="H104" s="172" t="s">
        <v>174</v>
      </c>
      <c r="I104" s="172" t="s">
        <v>175</v>
      </c>
      <c r="J104" s="173"/>
      <c r="K104" s="230"/>
      <c r="L104" s="230"/>
      <c r="M104" s="230"/>
    </row>
    <row r="105" spans="1:13" ht="27" customHeight="1" x14ac:dyDescent="0.3">
      <c r="A105" s="413"/>
      <c r="B105" s="174" t="s">
        <v>63</v>
      </c>
      <c r="C105" s="175" t="s">
        <v>64</v>
      </c>
      <c r="D105" s="175" t="s">
        <v>7</v>
      </c>
      <c r="E105" s="175" t="s">
        <v>65</v>
      </c>
      <c r="F105" s="175" t="s">
        <v>66</v>
      </c>
      <c r="G105" s="175" t="s">
        <v>242</v>
      </c>
      <c r="H105" s="262" t="s">
        <v>71</v>
      </c>
      <c r="I105" s="176" t="str">
        <f>CONCATENATE("Törlesztőrészlet ",Calc!K13*100,"%-os kamatváltozás esetén.")</f>
        <v>Törlesztőrészlet 2%-os kamatváltozás esetén.</v>
      </c>
      <c r="J105" s="177"/>
    </row>
    <row r="106" spans="1:13" ht="12.75" customHeight="1" x14ac:dyDescent="0.3">
      <c r="A106" s="413"/>
      <c r="B106" s="178" t="s">
        <v>68</v>
      </c>
      <c r="C106" s="179">
        <f>+'Calc2 tőkelefutáshoz'!B25</f>
        <v>10000000</v>
      </c>
      <c r="D106" s="179"/>
      <c r="E106" s="179"/>
      <c r="F106" s="179"/>
      <c r="G106" s="179"/>
      <c r="H106" s="183"/>
      <c r="I106" s="180"/>
      <c r="J106" s="177"/>
    </row>
    <row r="107" spans="1:13" ht="12.75" customHeight="1" x14ac:dyDescent="0.3">
      <c r="A107" s="413"/>
      <c r="B107" s="181">
        <v>1</v>
      </c>
      <c r="C107" s="179">
        <f>'Calc2 tőkelefutáshoz'!B26</f>
        <v>9969540</v>
      </c>
      <c r="D107" s="179">
        <f>'Calc2 tőkelefutáshoz'!C26</f>
        <v>30460</v>
      </c>
      <c r="E107" s="179">
        <f>'Calc2 tőkelefutáshoz'!D26</f>
        <v>25000</v>
      </c>
      <c r="F107" s="179">
        <f>'Calc2 tőkelefutáshoz'!F26</f>
        <v>55460</v>
      </c>
      <c r="G107" s="179">
        <f>'Calc2 tőkelefutáshoz'!G26</f>
        <v>0</v>
      </c>
      <c r="H107" s="183">
        <f>'Calc2 tőkelefutáshoz'!H26</f>
        <v>55460</v>
      </c>
      <c r="I107" s="182">
        <f>'Calc2 tőkelefutáshoz'!K26</f>
        <v>65996</v>
      </c>
      <c r="J107" s="177"/>
    </row>
    <row r="108" spans="1:13" ht="12.75" customHeight="1" x14ac:dyDescent="0.3">
      <c r="A108" s="413"/>
      <c r="B108" s="181">
        <v>2</v>
      </c>
      <c r="C108" s="179">
        <f>'Calc2 tőkelefutáshoz'!B27</f>
        <v>9939004</v>
      </c>
      <c r="D108" s="179">
        <f>'Calc2 tőkelefutáshoz'!C27</f>
        <v>30536</v>
      </c>
      <c r="E108" s="179">
        <f>'Calc2 tőkelefutáshoz'!D27</f>
        <v>24924</v>
      </c>
      <c r="F108" s="179">
        <f>'Calc2 tőkelefutáshoz'!F27</f>
        <v>55460</v>
      </c>
      <c r="G108" s="179">
        <f>'Calc2 tőkelefutáshoz'!G27</f>
        <v>0</v>
      </c>
      <c r="H108" s="183">
        <f>'Calc2 tőkelefutáshoz'!H27</f>
        <v>55460</v>
      </c>
      <c r="I108" s="182">
        <f>'Calc2 tőkelefutáshoz'!K27</f>
        <v>65996</v>
      </c>
      <c r="J108" s="177"/>
    </row>
    <row r="109" spans="1:13" ht="12.75" customHeight="1" x14ac:dyDescent="0.3">
      <c r="A109" s="413"/>
      <c r="B109" s="181">
        <v>3</v>
      </c>
      <c r="C109" s="179">
        <f>'Calc2 tőkelefutáshoz'!B28</f>
        <v>9908392</v>
      </c>
      <c r="D109" s="179">
        <f>'Calc2 tőkelefutáshoz'!C28</f>
        <v>30612</v>
      </c>
      <c r="E109" s="179">
        <f>'Calc2 tőkelefutáshoz'!D28</f>
        <v>24848</v>
      </c>
      <c r="F109" s="179">
        <f>'Calc2 tőkelefutáshoz'!F28</f>
        <v>55460</v>
      </c>
      <c r="G109" s="179">
        <f>'Calc2 tőkelefutáshoz'!G28</f>
        <v>0</v>
      </c>
      <c r="H109" s="183">
        <f>'Calc2 tőkelefutáshoz'!H28</f>
        <v>55460</v>
      </c>
      <c r="I109" s="182">
        <f>'Calc2 tőkelefutáshoz'!K28</f>
        <v>65996</v>
      </c>
      <c r="J109" s="177"/>
    </row>
    <row r="110" spans="1:13" ht="12.75" customHeight="1" x14ac:dyDescent="0.3">
      <c r="A110" s="413"/>
      <c r="B110" s="181">
        <v>4</v>
      </c>
      <c r="C110" s="179">
        <f>'Calc2 tőkelefutáshoz'!B29</f>
        <v>9877703</v>
      </c>
      <c r="D110" s="179">
        <f>'Calc2 tőkelefutáshoz'!C29</f>
        <v>30689</v>
      </c>
      <c r="E110" s="179">
        <f>'Calc2 tőkelefutáshoz'!D29</f>
        <v>24771</v>
      </c>
      <c r="F110" s="179">
        <f>'Calc2 tőkelefutáshoz'!F29</f>
        <v>55460</v>
      </c>
      <c r="G110" s="179">
        <f>'Calc2 tőkelefutáshoz'!G29</f>
        <v>0</v>
      </c>
      <c r="H110" s="183">
        <f>'Calc2 tőkelefutáshoz'!H29</f>
        <v>55460</v>
      </c>
      <c r="I110" s="182">
        <f>'Calc2 tőkelefutáshoz'!K29</f>
        <v>65996</v>
      </c>
      <c r="J110" s="177"/>
    </row>
    <row r="111" spans="1:13" ht="12.75" customHeight="1" x14ac:dyDescent="0.3">
      <c r="A111" s="413"/>
      <c r="B111" s="181">
        <v>5</v>
      </c>
      <c r="C111" s="179">
        <f>'Calc2 tőkelefutáshoz'!B30</f>
        <v>9846937</v>
      </c>
      <c r="D111" s="179">
        <f>'Calc2 tőkelefutáshoz'!C30</f>
        <v>30766</v>
      </c>
      <c r="E111" s="179">
        <f>'Calc2 tőkelefutáshoz'!D30</f>
        <v>24694</v>
      </c>
      <c r="F111" s="179">
        <f>'Calc2 tőkelefutáshoz'!F30</f>
        <v>55460</v>
      </c>
      <c r="G111" s="179">
        <f>'Calc2 tőkelefutáshoz'!G30</f>
        <v>0</v>
      </c>
      <c r="H111" s="183">
        <f>'Calc2 tőkelefutáshoz'!H30</f>
        <v>55460</v>
      </c>
      <c r="I111" s="182">
        <f>'Calc2 tőkelefutáshoz'!K30</f>
        <v>65996</v>
      </c>
      <c r="J111" s="177"/>
    </row>
    <row r="112" spans="1:13" ht="12.75" customHeight="1" x14ac:dyDescent="0.3">
      <c r="A112" s="413"/>
      <c r="B112" s="181">
        <v>6</v>
      </c>
      <c r="C112" s="179">
        <f>'Calc2 tőkelefutáshoz'!B31</f>
        <v>9816094</v>
      </c>
      <c r="D112" s="179">
        <f>'Calc2 tőkelefutáshoz'!C31</f>
        <v>30843</v>
      </c>
      <c r="E112" s="179">
        <f>'Calc2 tőkelefutáshoz'!D31</f>
        <v>24617</v>
      </c>
      <c r="F112" s="179">
        <f>'Calc2 tőkelefutáshoz'!F31</f>
        <v>55460</v>
      </c>
      <c r="G112" s="179">
        <f>'Calc2 tőkelefutáshoz'!G31</f>
        <v>0</v>
      </c>
      <c r="H112" s="183">
        <f>'Calc2 tőkelefutáshoz'!H31</f>
        <v>55460</v>
      </c>
      <c r="I112" s="182">
        <f>'Calc2 tőkelefutáshoz'!K31</f>
        <v>65996</v>
      </c>
      <c r="J112" s="177"/>
    </row>
    <row r="113" spans="1:13" ht="12.75" customHeight="1" x14ac:dyDescent="0.3">
      <c r="A113" s="413"/>
      <c r="B113" s="181">
        <v>7</v>
      </c>
      <c r="C113" s="179">
        <f>'Calc2 tőkelefutáshoz'!B32</f>
        <v>9785174</v>
      </c>
      <c r="D113" s="179">
        <f>'Calc2 tőkelefutáshoz'!C32</f>
        <v>30920</v>
      </c>
      <c r="E113" s="179">
        <f>'Calc2 tőkelefutáshoz'!D32</f>
        <v>24540</v>
      </c>
      <c r="F113" s="179">
        <f>'Calc2 tőkelefutáshoz'!F32</f>
        <v>55460</v>
      </c>
      <c r="G113" s="179">
        <f>'Calc2 tőkelefutáshoz'!G32</f>
        <v>0</v>
      </c>
      <c r="H113" s="183">
        <f>'Calc2 tőkelefutáshoz'!H32</f>
        <v>55460</v>
      </c>
      <c r="I113" s="182">
        <f>'Calc2 tőkelefutáshoz'!K32</f>
        <v>65996</v>
      </c>
      <c r="J113" s="177"/>
    </row>
    <row r="114" spans="1:13" ht="12.75" customHeight="1" x14ac:dyDescent="0.3">
      <c r="A114" s="413"/>
      <c r="B114" s="181">
        <v>8</v>
      </c>
      <c r="C114" s="179">
        <f>'Calc2 tőkelefutáshoz'!B33</f>
        <v>9754177</v>
      </c>
      <c r="D114" s="179">
        <f>'Calc2 tőkelefutáshoz'!C33</f>
        <v>30997</v>
      </c>
      <c r="E114" s="179">
        <f>'Calc2 tőkelefutáshoz'!D33</f>
        <v>24463</v>
      </c>
      <c r="F114" s="179">
        <f>'Calc2 tőkelefutáshoz'!F33</f>
        <v>55460</v>
      </c>
      <c r="G114" s="179">
        <f>'Calc2 tőkelefutáshoz'!G33</f>
        <v>0</v>
      </c>
      <c r="H114" s="183">
        <f>'Calc2 tőkelefutáshoz'!H33</f>
        <v>55460</v>
      </c>
      <c r="I114" s="182">
        <f>'Calc2 tőkelefutáshoz'!K33</f>
        <v>65996</v>
      </c>
      <c r="J114" s="177"/>
    </row>
    <row r="115" spans="1:13" ht="12.75" customHeight="1" x14ac:dyDescent="0.3">
      <c r="A115" s="413"/>
      <c r="B115" s="181">
        <v>9</v>
      </c>
      <c r="C115" s="179">
        <f>'Calc2 tőkelefutáshoz'!B34</f>
        <v>9723102</v>
      </c>
      <c r="D115" s="179">
        <f>'Calc2 tőkelefutáshoz'!C34</f>
        <v>31075</v>
      </c>
      <c r="E115" s="179">
        <f>'Calc2 tőkelefutáshoz'!D34</f>
        <v>24385</v>
      </c>
      <c r="F115" s="179">
        <f>'Calc2 tőkelefutáshoz'!F34</f>
        <v>55460</v>
      </c>
      <c r="G115" s="179">
        <f>'Calc2 tőkelefutáshoz'!G34</f>
        <v>0</v>
      </c>
      <c r="H115" s="183">
        <f>'Calc2 tőkelefutáshoz'!H34</f>
        <v>55460</v>
      </c>
      <c r="I115" s="182">
        <f>'Calc2 tőkelefutáshoz'!K34</f>
        <v>65996</v>
      </c>
      <c r="J115" s="177"/>
    </row>
    <row r="116" spans="1:13" ht="12.75" customHeight="1" x14ac:dyDescent="0.3">
      <c r="A116" s="413"/>
      <c r="B116" s="181">
        <v>10</v>
      </c>
      <c r="C116" s="179">
        <f>'Calc2 tőkelefutáshoz'!B35</f>
        <v>9691950</v>
      </c>
      <c r="D116" s="179">
        <f>'Calc2 tőkelefutáshoz'!C35</f>
        <v>31152</v>
      </c>
      <c r="E116" s="179">
        <f>'Calc2 tőkelefutáshoz'!D35</f>
        <v>24308</v>
      </c>
      <c r="F116" s="179">
        <f>'Calc2 tőkelefutáshoz'!F35</f>
        <v>55460</v>
      </c>
      <c r="G116" s="179">
        <f>'Calc2 tőkelefutáshoz'!G35</f>
        <v>0</v>
      </c>
      <c r="H116" s="183">
        <f>'Calc2 tőkelefutáshoz'!H35</f>
        <v>55460</v>
      </c>
      <c r="I116" s="182">
        <f>'Calc2 tőkelefutáshoz'!K35</f>
        <v>65996</v>
      </c>
      <c r="J116" s="177"/>
    </row>
    <row r="117" spans="1:13" ht="12.75" customHeight="1" x14ac:dyDescent="0.3">
      <c r="A117" s="413"/>
      <c r="B117" s="181">
        <v>11</v>
      </c>
      <c r="C117" s="179">
        <f>'Calc2 tőkelefutáshoz'!B36</f>
        <v>9660720</v>
      </c>
      <c r="D117" s="179">
        <f>'Calc2 tőkelefutáshoz'!C36</f>
        <v>31230</v>
      </c>
      <c r="E117" s="179">
        <f>'Calc2 tőkelefutáshoz'!D36</f>
        <v>24230</v>
      </c>
      <c r="F117" s="179">
        <f>'Calc2 tőkelefutáshoz'!F36</f>
        <v>55460</v>
      </c>
      <c r="G117" s="179">
        <f>'Calc2 tőkelefutáshoz'!G36</f>
        <v>0</v>
      </c>
      <c r="H117" s="183">
        <f>'Calc2 tőkelefutáshoz'!H36</f>
        <v>55460</v>
      </c>
      <c r="I117" s="182">
        <f>'Calc2 tőkelefutáshoz'!K36</f>
        <v>65996</v>
      </c>
      <c r="J117" s="177"/>
    </row>
    <row r="118" spans="1:13" ht="12.75" customHeight="1" x14ac:dyDescent="0.3">
      <c r="A118" s="413"/>
      <c r="B118" s="181">
        <v>12</v>
      </c>
      <c r="C118" s="179">
        <f>'Calc2 tőkelefutáshoz'!B37</f>
        <v>9629412</v>
      </c>
      <c r="D118" s="179">
        <f>'Calc2 tőkelefutáshoz'!C37</f>
        <v>31308</v>
      </c>
      <c r="E118" s="179">
        <f>'Calc2 tőkelefutáshoz'!D37</f>
        <v>24152</v>
      </c>
      <c r="F118" s="179">
        <f>'Calc2 tőkelefutáshoz'!F37</f>
        <v>55460</v>
      </c>
      <c r="G118" s="179">
        <f>'Calc2 tőkelefutáshoz'!G37</f>
        <v>0</v>
      </c>
      <c r="H118" s="183">
        <f>'Calc2 tőkelefutáshoz'!H37</f>
        <v>55460</v>
      </c>
      <c r="I118" s="182">
        <f>'Calc2 tőkelefutáshoz'!K37</f>
        <v>65996</v>
      </c>
      <c r="J118" s="177"/>
    </row>
    <row r="119" spans="1:13" ht="12.75" customHeight="1" x14ac:dyDescent="0.3">
      <c r="A119" s="413"/>
      <c r="B119" s="417" t="s">
        <v>67</v>
      </c>
      <c r="C119" s="418"/>
      <c r="D119" s="183">
        <f t="shared" ref="D119:I119" si="0">SUM(D107:D118)</f>
        <v>370588</v>
      </c>
      <c r="E119" s="183">
        <f t="shared" si="0"/>
        <v>294932</v>
      </c>
      <c r="F119" s="183">
        <f t="shared" si="0"/>
        <v>665520</v>
      </c>
      <c r="G119" s="183">
        <f t="shared" si="0"/>
        <v>0</v>
      </c>
      <c r="H119" s="183">
        <f t="shared" si="0"/>
        <v>665520</v>
      </c>
      <c r="I119" s="183">
        <f t="shared" si="0"/>
        <v>791952</v>
      </c>
      <c r="J119" s="184"/>
    </row>
    <row r="120" spans="1:13" ht="5.25" customHeight="1" x14ac:dyDescent="0.3">
      <c r="A120" s="413"/>
      <c r="B120" s="437"/>
      <c r="C120" s="438"/>
      <c r="D120" s="438"/>
      <c r="E120" s="438"/>
      <c r="F120" s="438"/>
      <c r="G120" s="438"/>
      <c r="H120" s="438"/>
      <c r="I120" s="438"/>
      <c r="J120" s="439"/>
      <c r="K120" s="230"/>
      <c r="L120" s="230"/>
      <c r="M120" s="230"/>
    </row>
    <row r="121" spans="1:13" ht="13.8" x14ac:dyDescent="0.3">
      <c r="A121" s="413"/>
      <c r="B121" s="372" t="s">
        <v>46</v>
      </c>
      <c r="C121" s="373"/>
      <c r="D121" s="373"/>
      <c r="E121" s="373"/>
      <c r="F121" s="373"/>
      <c r="G121" s="373"/>
      <c r="H121" s="373"/>
      <c r="I121" s="373"/>
      <c r="J121" s="374"/>
      <c r="K121" s="230"/>
      <c r="L121" s="230"/>
      <c r="M121" s="230"/>
    </row>
    <row r="122" spans="1:13" ht="13.8" x14ac:dyDescent="0.3">
      <c r="A122" s="413"/>
      <c r="B122" s="172" t="s">
        <v>168</v>
      </c>
      <c r="C122" s="172" t="s">
        <v>169</v>
      </c>
      <c r="D122" s="172" t="s">
        <v>170</v>
      </c>
      <c r="E122" s="172" t="s">
        <v>171</v>
      </c>
      <c r="F122" s="172" t="s">
        <v>172</v>
      </c>
      <c r="G122" s="172" t="s">
        <v>173</v>
      </c>
      <c r="H122" s="172" t="s">
        <v>174</v>
      </c>
      <c r="I122" s="172" t="s">
        <v>175</v>
      </c>
      <c r="J122" s="173"/>
      <c r="K122" s="230"/>
      <c r="L122" s="230"/>
      <c r="M122" s="230"/>
    </row>
    <row r="123" spans="1:13" ht="16.8" x14ac:dyDescent="0.3">
      <c r="A123" s="413"/>
      <c r="B123" s="174" t="s">
        <v>69</v>
      </c>
      <c r="C123" s="175" t="s">
        <v>64</v>
      </c>
      <c r="D123" s="175" t="s">
        <v>7</v>
      </c>
      <c r="E123" s="175" t="s">
        <v>65</v>
      </c>
      <c r="F123" s="175" t="s">
        <v>66</v>
      </c>
      <c r="G123" s="175" t="str">
        <f>+G105</f>
        <v>Rendelkezésre tartási jutalék</v>
      </c>
      <c r="H123" s="262" t="s">
        <v>71</v>
      </c>
      <c r="I123" s="175" t="str">
        <f>CONCATENATE("Törlesztőrészlet ",Calc!K12*100,"%-os kamatváltozás esetén.")</f>
        <v>Törlesztőrészlet 1%-os kamatváltozás esetén.</v>
      </c>
      <c r="J123" s="177"/>
    </row>
    <row r="124" spans="1:13" ht="13.8" x14ac:dyDescent="0.3">
      <c r="A124" s="413"/>
      <c r="B124" s="178" t="s">
        <v>68</v>
      </c>
      <c r="C124" s="179">
        <f>VLOOKUP(K117,'Calc2 tőkelefutáshoz'!$A$25:$K$326,2,FALSE)</f>
        <v>10000000</v>
      </c>
      <c r="D124" s="185"/>
      <c r="E124" s="185"/>
      <c r="F124" s="185"/>
      <c r="G124" s="185"/>
      <c r="H124" s="265"/>
      <c r="I124" s="182"/>
      <c r="J124" s="152">
        <v>0</v>
      </c>
    </row>
    <row r="125" spans="1:13" ht="12.75" customHeight="1" x14ac:dyDescent="0.3">
      <c r="A125" s="413"/>
      <c r="B125" s="263">
        <v>1</v>
      </c>
      <c r="C125" s="264">
        <f>VLOOKUP(J125,'Calc2 tőkelefutáshoz'!$A$25:$K$326,2,FALSE)</f>
        <v>9629412</v>
      </c>
      <c r="D125" s="264">
        <f>VLOOKUP(J125,'Calc2 tőkelefutáshoz'!$A$25:$S$325,12,FALSE)</f>
        <v>370588</v>
      </c>
      <c r="E125" s="264">
        <f>VLOOKUP(J125,'Calc2 tőkelefutáshoz'!$A$25:$S$325,13,FALSE)</f>
        <v>294932</v>
      </c>
      <c r="F125" s="264">
        <f>+D125+E125</f>
        <v>665520</v>
      </c>
      <c r="G125" s="264">
        <f>VLOOKUP(J125,'Calc2 tőkelefutáshoz'!$A$25:$S$325,16,FALSE)</f>
        <v>0</v>
      </c>
      <c r="H125" s="186">
        <f>+F125</f>
        <v>665520</v>
      </c>
      <c r="I125" s="264">
        <f>(ROUND(VLOOKUP(J125,'Calc2 tőkelefutáshoz'!$A$25:$S$325,19,FALSE),0))</f>
        <v>791952</v>
      </c>
      <c r="J125" s="152">
        <f t="shared" ref="J125:J149" si="1">B125*12</f>
        <v>12</v>
      </c>
    </row>
    <row r="126" spans="1:13" ht="12.75" customHeight="1" x14ac:dyDescent="0.3">
      <c r="A126" s="413"/>
      <c r="B126" s="263">
        <v>2</v>
      </c>
      <c r="C126" s="264">
        <f>VLOOKUP(J126,'Calc2 tőkelefutáshoz'!$A$25:$K$326,2,FALSE)</f>
        <v>9247552</v>
      </c>
      <c r="D126" s="264">
        <f>VLOOKUP(J126,'Calc2 tőkelefutáshoz'!$A$25:$S$325,12,FALSE)</f>
        <v>381860</v>
      </c>
      <c r="E126" s="264">
        <f>VLOOKUP(J126,'Calc2 tőkelefutáshoz'!$A$25:$S$325,13,FALSE)</f>
        <v>283660</v>
      </c>
      <c r="F126" s="264">
        <f t="shared" ref="F126:F149" si="2">+D126+E126</f>
        <v>665520</v>
      </c>
      <c r="G126" s="264">
        <f>VLOOKUP(J126,'Calc2 tőkelefutáshoz'!$A$25:$S$325,16,FALSE)</f>
        <v>0</v>
      </c>
      <c r="H126" s="186">
        <f t="shared" ref="H126:H149" si="3">+F126</f>
        <v>665520</v>
      </c>
      <c r="I126" s="264">
        <f>(ROUND(VLOOKUP(J126,'Calc2 tőkelefutáshoz'!$A$25:$S$325,19,FALSE),0))</f>
        <v>791952</v>
      </c>
      <c r="J126" s="152">
        <f t="shared" si="1"/>
        <v>24</v>
      </c>
    </row>
    <row r="127" spans="1:13" ht="12.75" customHeight="1" x14ac:dyDescent="0.3">
      <c r="A127" s="413"/>
      <c r="B127" s="263">
        <v>3</v>
      </c>
      <c r="C127" s="264">
        <f>VLOOKUP(J127,'Calc2 tőkelefutáshoz'!$A$25:$K$326,2,FALSE)</f>
        <v>8854078</v>
      </c>
      <c r="D127" s="264">
        <f>VLOOKUP(J127,'Calc2 tőkelefutáshoz'!$A$25:$S$325,12,FALSE)</f>
        <v>393474</v>
      </c>
      <c r="E127" s="264">
        <f>VLOOKUP(J127,'Calc2 tőkelefutáshoz'!$A$25:$S$325,13,FALSE)</f>
        <v>272046</v>
      </c>
      <c r="F127" s="264">
        <f t="shared" si="2"/>
        <v>665520</v>
      </c>
      <c r="G127" s="264">
        <f>VLOOKUP(J127,'Calc2 tőkelefutáshoz'!$A$25:$S$325,16,FALSE)</f>
        <v>0</v>
      </c>
      <c r="H127" s="186">
        <f t="shared" si="3"/>
        <v>665520</v>
      </c>
      <c r="I127" s="264">
        <f>(ROUND(VLOOKUP(J127,'Calc2 tőkelefutáshoz'!$A$25:$S$325,19,FALSE),0))</f>
        <v>791952</v>
      </c>
      <c r="J127" s="152">
        <f t="shared" si="1"/>
        <v>36</v>
      </c>
    </row>
    <row r="128" spans="1:13" ht="12.75" customHeight="1" x14ac:dyDescent="0.3">
      <c r="A128" s="413"/>
      <c r="B128" s="263">
        <v>4</v>
      </c>
      <c r="C128" s="264">
        <f>VLOOKUP(J128,'Calc2 tőkelefutáshoz'!$A$25:$K$326,2,FALSE)</f>
        <v>8448637</v>
      </c>
      <c r="D128" s="264">
        <f>VLOOKUP(J128,'Calc2 tőkelefutáshoz'!$A$25:$S$325,12,FALSE)</f>
        <v>405441</v>
      </c>
      <c r="E128" s="264">
        <f>VLOOKUP(J128,'Calc2 tőkelefutáshoz'!$A$25:$S$325,13,FALSE)</f>
        <v>260079</v>
      </c>
      <c r="F128" s="264">
        <f t="shared" si="2"/>
        <v>665520</v>
      </c>
      <c r="G128" s="264">
        <f>VLOOKUP(J128,'Calc2 tőkelefutáshoz'!$A$25:$S$325,16,FALSE)</f>
        <v>0</v>
      </c>
      <c r="H128" s="186">
        <f t="shared" si="3"/>
        <v>665520</v>
      </c>
      <c r="I128" s="264">
        <f>(ROUND(VLOOKUP(J128,'Calc2 tőkelefutáshoz'!$A$25:$S$325,19,FALSE),0))</f>
        <v>791952</v>
      </c>
      <c r="J128" s="152">
        <f t="shared" si="1"/>
        <v>48</v>
      </c>
    </row>
    <row r="129" spans="1:10" ht="12.75" customHeight="1" x14ac:dyDescent="0.3">
      <c r="A129" s="413"/>
      <c r="B129" s="263">
        <v>5</v>
      </c>
      <c r="C129" s="264">
        <f>VLOOKUP(J129,'Calc2 tőkelefutáshoz'!$A$25:$K$326,2,FALSE)</f>
        <v>8030862</v>
      </c>
      <c r="D129" s="264">
        <f>VLOOKUP(J129,'Calc2 tőkelefutáshoz'!$A$25:$S$325,12,FALSE)</f>
        <v>417775</v>
      </c>
      <c r="E129" s="264">
        <f>VLOOKUP(J129,'Calc2 tőkelefutáshoz'!$A$25:$S$325,13,FALSE)</f>
        <v>247745</v>
      </c>
      <c r="F129" s="264">
        <f t="shared" si="2"/>
        <v>665520</v>
      </c>
      <c r="G129" s="264">
        <f>VLOOKUP(J129,'Calc2 tőkelefutáshoz'!$A$25:$S$325,16,FALSE)</f>
        <v>0</v>
      </c>
      <c r="H129" s="186">
        <f t="shared" si="3"/>
        <v>665520</v>
      </c>
      <c r="I129" s="264">
        <f>(ROUND(VLOOKUP(J129,'Calc2 tőkelefutáshoz'!$A$25:$S$325,19,FALSE),0))</f>
        <v>791952</v>
      </c>
      <c r="J129" s="152">
        <f t="shared" si="1"/>
        <v>60</v>
      </c>
    </row>
    <row r="130" spans="1:10" ht="12.75" customHeight="1" x14ac:dyDescent="0.3">
      <c r="A130" s="413"/>
      <c r="B130" s="181">
        <v>6</v>
      </c>
      <c r="C130" s="179">
        <f>VLOOKUP(J130,'Calc2 tőkelefutáshoz'!$A$25:$K$326,2,FALSE)</f>
        <v>7600381</v>
      </c>
      <c r="D130" s="179">
        <f>VLOOKUP(J130,'Calc2 tőkelefutáshoz'!$A$25:$S$325,12,FALSE)</f>
        <v>430481</v>
      </c>
      <c r="E130" s="179">
        <f>VLOOKUP(J130,'Calc2 tőkelefutáshoz'!$A$25:$S$325,13,FALSE)</f>
        <v>235039</v>
      </c>
      <c r="F130" s="179">
        <f t="shared" si="2"/>
        <v>665520</v>
      </c>
      <c r="G130" s="179">
        <f>VLOOKUP(J130,'Calc2 tőkelefutáshoz'!$A$25:$S$325,16,FALSE)</f>
        <v>0</v>
      </c>
      <c r="H130" s="183">
        <f t="shared" si="3"/>
        <v>665520</v>
      </c>
      <c r="I130" s="179">
        <f>(ROUND(VLOOKUP(J130,'Calc2 tőkelefutáshoz'!$A$25:$S$325,19,FALSE),0))</f>
        <v>791952</v>
      </c>
      <c r="J130" s="152">
        <f t="shared" si="1"/>
        <v>72</v>
      </c>
    </row>
    <row r="131" spans="1:10" ht="12.75" customHeight="1" x14ac:dyDescent="0.3">
      <c r="A131" s="413"/>
      <c r="B131" s="181">
        <v>7</v>
      </c>
      <c r="C131" s="179">
        <f>VLOOKUP(J131,'Calc2 tőkelefutáshoz'!$A$25:$K$326,2,FALSE)</f>
        <v>7156806</v>
      </c>
      <c r="D131" s="179">
        <f>VLOOKUP(J131,'Calc2 tőkelefutáshoz'!$A$25:$S$325,12,FALSE)</f>
        <v>443575</v>
      </c>
      <c r="E131" s="179">
        <f>VLOOKUP(J131,'Calc2 tőkelefutáshoz'!$A$25:$S$325,13,FALSE)</f>
        <v>221945</v>
      </c>
      <c r="F131" s="179">
        <f t="shared" si="2"/>
        <v>665520</v>
      </c>
      <c r="G131" s="179">
        <f>VLOOKUP(J131,'Calc2 tőkelefutáshoz'!$A$25:$S$325,16,FALSE)</f>
        <v>0</v>
      </c>
      <c r="H131" s="183">
        <f t="shared" si="3"/>
        <v>665520</v>
      </c>
      <c r="I131" s="179">
        <f>(ROUND(VLOOKUP(J131,'Calc2 tőkelefutáshoz'!$A$25:$S$325,19,FALSE),0))</f>
        <v>791952</v>
      </c>
      <c r="J131" s="152">
        <f t="shared" si="1"/>
        <v>84</v>
      </c>
    </row>
    <row r="132" spans="1:10" ht="12.75" customHeight="1" x14ac:dyDescent="0.3">
      <c r="A132" s="413"/>
      <c r="B132" s="181">
        <v>8</v>
      </c>
      <c r="C132" s="179">
        <f>VLOOKUP(J132,'Calc2 tőkelefutáshoz'!$A$25:$K$326,2,FALSE)</f>
        <v>6699740</v>
      </c>
      <c r="D132" s="179">
        <f>VLOOKUP(J132,'Calc2 tőkelefutáshoz'!$A$25:$S$325,12,FALSE)</f>
        <v>457066</v>
      </c>
      <c r="E132" s="179">
        <f>VLOOKUP(J132,'Calc2 tőkelefutáshoz'!$A$25:$S$325,13,FALSE)</f>
        <v>208454</v>
      </c>
      <c r="F132" s="179">
        <f t="shared" si="2"/>
        <v>665520</v>
      </c>
      <c r="G132" s="179">
        <f>VLOOKUP(J132,'Calc2 tőkelefutáshoz'!$A$25:$S$325,16,FALSE)</f>
        <v>0</v>
      </c>
      <c r="H132" s="183">
        <f t="shared" si="3"/>
        <v>665520</v>
      </c>
      <c r="I132" s="179">
        <f>(ROUND(VLOOKUP(J132,'Calc2 tőkelefutáshoz'!$A$25:$S$325,19,FALSE),0))</f>
        <v>791952</v>
      </c>
      <c r="J132" s="152">
        <f t="shared" si="1"/>
        <v>96</v>
      </c>
    </row>
    <row r="133" spans="1:10" ht="12.75" customHeight="1" x14ac:dyDescent="0.3">
      <c r="A133" s="413"/>
      <c r="B133" s="181">
        <v>9</v>
      </c>
      <c r="C133" s="179">
        <f>VLOOKUP(J133,'Calc2 tőkelefutáshoz'!$A$25:$K$326,2,FALSE)</f>
        <v>6228772</v>
      </c>
      <c r="D133" s="179">
        <f>VLOOKUP(J133,'Calc2 tőkelefutáshoz'!$A$25:$S$325,12,FALSE)</f>
        <v>470968</v>
      </c>
      <c r="E133" s="179">
        <f>VLOOKUP(J133,'Calc2 tőkelefutáshoz'!$A$25:$S$325,13,FALSE)</f>
        <v>194552</v>
      </c>
      <c r="F133" s="179">
        <f t="shared" si="2"/>
        <v>665520</v>
      </c>
      <c r="G133" s="179">
        <f>VLOOKUP(J133,'Calc2 tőkelefutáshoz'!$A$25:$S$325,16,FALSE)</f>
        <v>0</v>
      </c>
      <c r="H133" s="183">
        <f t="shared" si="3"/>
        <v>665520</v>
      </c>
      <c r="I133" s="179">
        <f>(ROUND(VLOOKUP(J133,'Calc2 tőkelefutáshoz'!$A$25:$S$325,19,FALSE),0))</f>
        <v>791952</v>
      </c>
      <c r="J133" s="152">
        <f t="shared" si="1"/>
        <v>108</v>
      </c>
    </row>
    <row r="134" spans="1:10" ht="12.75" customHeight="1" x14ac:dyDescent="0.3">
      <c r="A134" s="413"/>
      <c r="B134" s="181">
        <v>10</v>
      </c>
      <c r="C134" s="179">
        <f>VLOOKUP(J134,'Calc2 tőkelefutáshoz'!$A$25:$K$326,2,FALSE)</f>
        <v>5743478</v>
      </c>
      <c r="D134" s="179">
        <f>VLOOKUP(J134,'Calc2 tőkelefutáshoz'!$A$25:$S$325,12,FALSE)</f>
        <v>485294</v>
      </c>
      <c r="E134" s="179">
        <f>VLOOKUP(J134,'Calc2 tőkelefutáshoz'!$A$25:$S$325,13,FALSE)</f>
        <v>180226</v>
      </c>
      <c r="F134" s="179">
        <f t="shared" si="2"/>
        <v>665520</v>
      </c>
      <c r="G134" s="179">
        <f>VLOOKUP(J134,'Calc2 tőkelefutáshoz'!$A$25:$S$325,16,FALSE)</f>
        <v>0</v>
      </c>
      <c r="H134" s="183">
        <f t="shared" si="3"/>
        <v>665520</v>
      </c>
      <c r="I134" s="179">
        <f>(ROUND(VLOOKUP(J134,'Calc2 tőkelefutáshoz'!$A$25:$S$325,19,FALSE),0))</f>
        <v>791952</v>
      </c>
      <c r="J134" s="152">
        <f t="shared" si="1"/>
        <v>120</v>
      </c>
    </row>
    <row r="135" spans="1:10" ht="12.75" customHeight="1" x14ac:dyDescent="0.3">
      <c r="A135" s="413"/>
      <c r="B135" s="181">
        <v>11</v>
      </c>
      <c r="C135" s="179">
        <f>VLOOKUP(J135,'Calc2 tőkelefutáshoz'!$A$25:$K$326,2,FALSE)</f>
        <v>5243424</v>
      </c>
      <c r="D135" s="179">
        <f>VLOOKUP(J135,'Calc2 tőkelefutáshoz'!$A$25:$S$325,12,FALSE)</f>
        <v>500054</v>
      </c>
      <c r="E135" s="179">
        <f>VLOOKUP(J135,'Calc2 tőkelefutáshoz'!$A$25:$S$325,13,FALSE)</f>
        <v>165466</v>
      </c>
      <c r="F135" s="179">
        <f t="shared" si="2"/>
        <v>665520</v>
      </c>
      <c r="G135" s="179">
        <f>VLOOKUP(J135,'Calc2 tőkelefutáshoz'!$A$25:$S$325,16,FALSE)</f>
        <v>0</v>
      </c>
      <c r="H135" s="183">
        <f t="shared" si="3"/>
        <v>665520</v>
      </c>
      <c r="I135" s="179">
        <f>(ROUND(VLOOKUP(J135,'Calc2 tőkelefutáshoz'!$A$25:$S$325,19,FALSE),0))</f>
        <v>791952</v>
      </c>
      <c r="J135" s="152">
        <f t="shared" si="1"/>
        <v>132</v>
      </c>
    </row>
    <row r="136" spans="1:10" ht="12.75" customHeight="1" x14ac:dyDescent="0.3">
      <c r="A136" s="413"/>
      <c r="B136" s="181">
        <v>12</v>
      </c>
      <c r="C136" s="179">
        <f>VLOOKUP(J136,'Calc2 tőkelefutáshoz'!$A$25:$K$326,2,FALSE)</f>
        <v>4728161</v>
      </c>
      <c r="D136" s="179">
        <f>VLOOKUP(J136,'Calc2 tőkelefutáshoz'!$A$25:$S$325,12,FALSE)</f>
        <v>515263</v>
      </c>
      <c r="E136" s="179">
        <f>VLOOKUP(J136,'Calc2 tőkelefutáshoz'!$A$25:$S$325,13,FALSE)</f>
        <v>150257</v>
      </c>
      <c r="F136" s="179">
        <f t="shared" si="2"/>
        <v>665520</v>
      </c>
      <c r="G136" s="179">
        <f>VLOOKUP(J136,'Calc2 tőkelefutáshoz'!$A$25:$S$325,16,FALSE)</f>
        <v>0</v>
      </c>
      <c r="H136" s="183">
        <f t="shared" si="3"/>
        <v>665520</v>
      </c>
      <c r="I136" s="179">
        <f>(ROUND(VLOOKUP(J136,'Calc2 tőkelefutáshoz'!$A$25:$S$325,19,FALSE),0))</f>
        <v>791952</v>
      </c>
      <c r="J136" s="152">
        <f t="shared" si="1"/>
        <v>144</v>
      </c>
    </row>
    <row r="137" spans="1:10" ht="12.75" customHeight="1" x14ac:dyDescent="0.3">
      <c r="A137" s="413"/>
      <c r="B137" s="181">
        <v>13</v>
      </c>
      <c r="C137" s="179">
        <f>VLOOKUP(J137,'Calc2 tőkelefutáshoz'!$A$25:$K$326,2,FALSE)</f>
        <v>4197224</v>
      </c>
      <c r="D137" s="179">
        <f>VLOOKUP(J137,'Calc2 tőkelefutáshoz'!$A$25:$S$325,12,FALSE)</f>
        <v>530937</v>
      </c>
      <c r="E137" s="179">
        <f>VLOOKUP(J137,'Calc2 tőkelefutáshoz'!$A$25:$S$325,13,FALSE)</f>
        <v>134583</v>
      </c>
      <c r="F137" s="179">
        <f t="shared" si="2"/>
        <v>665520</v>
      </c>
      <c r="G137" s="179">
        <f>VLOOKUP(J137,'Calc2 tőkelefutáshoz'!$A$25:$S$325,16,FALSE)</f>
        <v>0</v>
      </c>
      <c r="H137" s="183">
        <f t="shared" si="3"/>
        <v>665520</v>
      </c>
      <c r="I137" s="179">
        <f>(ROUND(VLOOKUP(J137,'Calc2 tőkelefutáshoz'!$A$25:$S$325,19,FALSE),0))</f>
        <v>791952</v>
      </c>
      <c r="J137" s="152">
        <f t="shared" si="1"/>
        <v>156</v>
      </c>
    </row>
    <row r="138" spans="1:10" ht="12.75" customHeight="1" x14ac:dyDescent="0.3">
      <c r="A138" s="413"/>
      <c r="B138" s="181">
        <v>14</v>
      </c>
      <c r="C138" s="179">
        <f>VLOOKUP(J138,'Calc2 tőkelefutáshoz'!$A$25:$K$326,2,FALSE)</f>
        <v>3650139</v>
      </c>
      <c r="D138" s="179">
        <f>VLOOKUP(J138,'Calc2 tőkelefutáshoz'!$A$25:$S$325,12,FALSE)</f>
        <v>547085</v>
      </c>
      <c r="E138" s="179">
        <f>VLOOKUP(J138,'Calc2 tőkelefutáshoz'!$A$25:$S$325,13,FALSE)</f>
        <v>118435</v>
      </c>
      <c r="F138" s="179">
        <f t="shared" si="2"/>
        <v>665520</v>
      </c>
      <c r="G138" s="179">
        <f>VLOOKUP(J138,'Calc2 tőkelefutáshoz'!$A$25:$S$325,16,FALSE)</f>
        <v>0</v>
      </c>
      <c r="H138" s="183">
        <f t="shared" si="3"/>
        <v>665520</v>
      </c>
      <c r="I138" s="179">
        <f>(ROUND(VLOOKUP(J138,'Calc2 tőkelefutáshoz'!$A$25:$S$325,19,FALSE),0))</f>
        <v>791952</v>
      </c>
      <c r="J138" s="152">
        <f t="shared" si="1"/>
        <v>168</v>
      </c>
    </row>
    <row r="139" spans="1:10" ht="12.75" customHeight="1" x14ac:dyDescent="0.3">
      <c r="A139" s="413"/>
      <c r="B139" s="181">
        <v>15</v>
      </c>
      <c r="C139" s="179">
        <f>VLOOKUP(J139,'Calc2 tőkelefutáshoz'!$A$25:$K$326,2,FALSE)</f>
        <v>3086413</v>
      </c>
      <c r="D139" s="179">
        <f>VLOOKUP(J139,'Calc2 tőkelefutáshoz'!$A$25:$S$325,12,FALSE)</f>
        <v>563726</v>
      </c>
      <c r="E139" s="179">
        <f>VLOOKUP(J139,'Calc2 tőkelefutáshoz'!$A$25:$S$325,13,FALSE)</f>
        <v>101794</v>
      </c>
      <c r="F139" s="179">
        <f t="shared" si="2"/>
        <v>665520</v>
      </c>
      <c r="G139" s="179">
        <f>VLOOKUP(J139,'Calc2 tőkelefutáshoz'!$A$25:$S$325,16,FALSE)</f>
        <v>0</v>
      </c>
      <c r="H139" s="183">
        <f t="shared" si="3"/>
        <v>665520</v>
      </c>
      <c r="I139" s="179">
        <f>(ROUND(VLOOKUP(J139,'Calc2 tőkelefutáshoz'!$A$25:$S$325,19,FALSE),0))</f>
        <v>791952</v>
      </c>
      <c r="J139" s="152">
        <f t="shared" si="1"/>
        <v>180</v>
      </c>
    </row>
    <row r="140" spans="1:10" ht="12.75" customHeight="1" x14ac:dyDescent="0.3">
      <c r="A140" s="413"/>
      <c r="B140" s="181">
        <v>16</v>
      </c>
      <c r="C140" s="179">
        <f>VLOOKUP(J140,'Calc2 tőkelefutáshoz'!$A$25:$K$326,2,FALSE)</f>
        <v>2505542</v>
      </c>
      <c r="D140" s="179">
        <f>VLOOKUP(J140,'Calc2 tőkelefutáshoz'!$A$25:$S$325,12,FALSE)</f>
        <v>580871</v>
      </c>
      <c r="E140" s="179">
        <f>VLOOKUP(J140,'Calc2 tőkelefutáshoz'!$A$25:$S$325,13,FALSE)</f>
        <v>84649</v>
      </c>
      <c r="F140" s="179">
        <f t="shared" si="2"/>
        <v>665520</v>
      </c>
      <c r="G140" s="179">
        <f>VLOOKUP(J140,'Calc2 tőkelefutáshoz'!$A$25:$S$325,16,FALSE)</f>
        <v>0</v>
      </c>
      <c r="H140" s="183">
        <f t="shared" si="3"/>
        <v>665520</v>
      </c>
      <c r="I140" s="179">
        <f>(ROUND(VLOOKUP(J140,'Calc2 tőkelefutáshoz'!$A$25:$S$325,19,FALSE),0))</f>
        <v>791952</v>
      </c>
      <c r="J140" s="152">
        <f t="shared" si="1"/>
        <v>192</v>
      </c>
    </row>
    <row r="141" spans="1:10" ht="12.75" customHeight="1" x14ac:dyDescent="0.3">
      <c r="A141" s="413"/>
      <c r="B141" s="181">
        <v>17</v>
      </c>
      <c r="C141" s="179">
        <f>VLOOKUP(J141,'Calc2 tőkelefutáshoz'!$A$25:$K$326,2,FALSE)</f>
        <v>1907003</v>
      </c>
      <c r="D141" s="179">
        <f>VLOOKUP(J141,'Calc2 tőkelefutáshoz'!$A$25:$S$325,12,FALSE)</f>
        <v>598539</v>
      </c>
      <c r="E141" s="179">
        <f>VLOOKUP(J141,'Calc2 tőkelefutáshoz'!$A$25:$S$325,13,FALSE)</f>
        <v>66981</v>
      </c>
      <c r="F141" s="179">
        <f t="shared" si="2"/>
        <v>665520</v>
      </c>
      <c r="G141" s="179">
        <f>VLOOKUP(J141,'Calc2 tőkelefutáshoz'!$A$25:$S$325,16,FALSE)</f>
        <v>0</v>
      </c>
      <c r="H141" s="183">
        <f t="shared" si="3"/>
        <v>665520</v>
      </c>
      <c r="I141" s="179">
        <f>(ROUND(VLOOKUP(J141,'Calc2 tőkelefutáshoz'!$A$25:$S$325,19,FALSE),0))</f>
        <v>791952</v>
      </c>
      <c r="J141" s="152">
        <f t="shared" si="1"/>
        <v>204</v>
      </c>
    </row>
    <row r="142" spans="1:10" ht="12.75" customHeight="1" x14ac:dyDescent="0.3">
      <c r="A142" s="413"/>
      <c r="B142" s="181">
        <v>18</v>
      </c>
      <c r="C142" s="179">
        <f>VLOOKUP(J142,'Calc2 tőkelefutáshoz'!$A$25:$K$326,2,FALSE)</f>
        <v>1290260</v>
      </c>
      <c r="D142" s="179">
        <f>VLOOKUP(J142,'Calc2 tőkelefutáshoz'!$A$25:$S$325,12,FALSE)</f>
        <v>616743</v>
      </c>
      <c r="E142" s="179">
        <f>VLOOKUP(J142,'Calc2 tőkelefutáshoz'!$A$25:$S$325,13,FALSE)</f>
        <v>48777</v>
      </c>
      <c r="F142" s="179">
        <f t="shared" si="2"/>
        <v>665520</v>
      </c>
      <c r="G142" s="179">
        <f>VLOOKUP(J142,'Calc2 tőkelefutáshoz'!$A$25:$S$325,16,FALSE)</f>
        <v>0</v>
      </c>
      <c r="H142" s="183">
        <f t="shared" si="3"/>
        <v>665520</v>
      </c>
      <c r="I142" s="179">
        <f>(ROUND(VLOOKUP(J142,'Calc2 tőkelefutáshoz'!$A$25:$S$325,19,FALSE),0))</f>
        <v>791952</v>
      </c>
      <c r="J142" s="152">
        <f t="shared" si="1"/>
        <v>216</v>
      </c>
    </row>
    <row r="143" spans="1:10" ht="12.75" customHeight="1" x14ac:dyDescent="0.3">
      <c r="A143" s="413"/>
      <c r="B143" s="181">
        <v>19</v>
      </c>
      <c r="C143" s="179">
        <f>VLOOKUP(J143,'Calc2 tőkelefutáshoz'!$A$25:$K$326,2,FALSE)</f>
        <v>654757</v>
      </c>
      <c r="D143" s="179">
        <f>VLOOKUP(J143,'Calc2 tőkelefutáshoz'!$A$25:$S$325,12,FALSE)</f>
        <v>635503</v>
      </c>
      <c r="E143" s="179">
        <f>VLOOKUP(J143,'Calc2 tőkelefutáshoz'!$A$25:$S$325,13,FALSE)</f>
        <v>30017</v>
      </c>
      <c r="F143" s="179">
        <f t="shared" si="2"/>
        <v>665520</v>
      </c>
      <c r="G143" s="179">
        <f>VLOOKUP(J143,'Calc2 tőkelefutáshoz'!$A$25:$S$325,16,FALSE)</f>
        <v>0</v>
      </c>
      <c r="H143" s="183">
        <f t="shared" si="3"/>
        <v>665520</v>
      </c>
      <c r="I143" s="179">
        <f>(ROUND(VLOOKUP(J143,'Calc2 tőkelefutáshoz'!$A$25:$S$325,19,FALSE),0))</f>
        <v>791952</v>
      </c>
      <c r="J143" s="152">
        <f t="shared" si="1"/>
        <v>228</v>
      </c>
    </row>
    <row r="144" spans="1:10" ht="12.75" customHeight="1" x14ac:dyDescent="0.3">
      <c r="A144" s="413"/>
      <c r="B144" s="181">
        <v>20</v>
      </c>
      <c r="C144" s="179">
        <f>VLOOKUP(J144,'Calc2 tőkelefutáshoz'!$A$25:$K$326,2,FALSE)</f>
        <v>0</v>
      </c>
      <c r="D144" s="179">
        <f>VLOOKUP(J144,'Calc2 tőkelefutáshoz'!$A$25:$S$325,12,FALSE)</f>
        <v>654757</v>
      </c>
      <c r="E144" s="179">
        <f>VLOOKUP(J144,'Calc2 tőkelefutáshoz'!$A$25:$S$325,13,FALSE)</f>
        <v>10687</v>
      </c>
      <c r="F144" s="179">
        <f t="shared" si="2"/>
        <v>665444</v>
      </c>
      <c r="G144" s="179">
        <f>VLOOKUP(J144,'Calc2 tőkelefutáshoz'!$A$25:$S$325,16,FALSE)</f>
        <v>0</v>
      </c>
      <c r="H144" s="183">
        <f t="shared" si="3"/>
        <v>665444</v>
      </c>
      <c r="I144" s="179">
        <f>(ROUND(VLOOKUP(J144,'Calc2 tőkelefutáshoz'!$A$25:$S$325,19,FALSE),0))</f>
        <v>781340</v>
      </c>
      <c r="J144" s="152">
        <f t="shared" si="1"/>
        <v>240</v>
      </c>
    </row>
    <row r="145" spans="1:13" ht="12.75" customHeight="1" x14ac:dyDescent="0.3">
      <c r="A145" s="413"/>
      <c r="B145" s="181">
        <v>21</v>
      </c>
      <c r="C145" s="179">
        <f>VLOOKUP(J145,'Calc2 tőkelefutáshoz'!$A$25:$K$326,2,FALSE)</f>
        <v>0</v>
      </c>
      <c r="D145" s="179">
        <f>VLOOKUP(J145,'Calc2 tőkelefutáshoz'!$A$25:$S$325,12,FALSE)</f>
        <v>0</v>
      </c>
      <c r="E145" s="179">
        <f>VLOOKUP(J145,'Calc2 tőkelefutáshoz'!$A$25:$S$325,13,FALSE)</f>
        <v>0</v>
      </c>
      <c r="F145" s="179">
        <f t="shared" si="2"/>
        <v>0</v>
      </c>
      <c r="G145" s="179">
        <f>VLOOKUP(J145,'Calc2 tőkelefutáshoz'!$A$25:$S$325,16,FALSE)</f>
        <v>0</v>
      </c>
      <c r="H145" s="183">
        <f t="shared" si="3"/>
        <v>0</v>
      </c>
      <c r="I145" s="179">
        <f>(ROUND(VLOOKUP(J145,'Calc2 tőkelefutáshoz'!$A$25:$S$325,19,FALSE),0))</f>
        <v>0</v>
      </c>
      <c r="J145" s="152">
        <f t="shared" si="1"/>
        <v>252</v>
      </c>
    </row>
    <row r="146" spans="1:13" ht="12.75" customHeight="1" x14ac:dyDescent="0.3">
      <c r="A146" s="413"/>
      <c r="B146" s="181">
        <v>22</v>
      </c>
      <c r="C146" s="179">
        <f>VLOOKUP(J146,'Calc2 tőkelefutáshoz'!$A$25:$K$326,2,FALSE)</f>
        <v>0</v>
      </c>
      <c r="D146" s="179">
        <f>VLOOKUP(J146,'Calc2 tőkelefutáshoz'!$A$25:$S$325,12,FALSE)</f>
        <v>0</v>
      </c>
      <c r="E146" s="179">
        <f>VLOOKUP(J146,'Calc2 tőkelefutáshoz'!$A$25:$S$325,13,FALSE)</f>
        <v>0</v>
      </c>
      <c r="F146" s="179">
        <f t="shared" si="2"/>
        <v>0</v>
      </c>
      <c r="G146" s="179">
        <f>VLOOKUP(J146,'Calc2 tőkelefutáshoz'!$A$25:$S$325,16,FALSE)</f>
        <v>0</v>
      </c>
      <c r="H146" s="183">
        <f t="shared" si="3"/>
        <v>0</v>
      </c>
      <c r="I146" s="179">
        <f>(ROUND(VLOOKUP(J146,'Calc2 tőkelefutáshoz'!$A$25:$S$325,19,FALSE),0))</f>
        <v>0</v>
      </c>
      <c r="J146" s="152">
        <f t="shared" si="1"/>
        <v>264</v>
      </c>
    </row>
    <row r="147" spans="1:13" ht="12.75" customHeight="1" x14ac:dyDescent="0.3">
      <c r="A147" s="413"/>
      <c r="B147" s="181">
        <v>23</v>
      </c>
      <c r="C147" s="179">
        <f>VLOOKUP(J147,'Calc2 tőkelefutáshoz'!$A$25:$K$326,2,FALSE)</f>
        <v>0</v>
      </c>
      <c r="D147" s="179">
        <f>VLOOKUP(J147,'Calc2 tőkelefutáshoz'!$A$25:$S$325,12,FALSE)</f>
        <v>0</v>
      </c>
      <c r="E147" s="179">
        <f>VLOOKUP(J147,'Calc2 tőkelefutáshoz'!$A$25:$S$325,13,FALSE)</f>
        <v>0</v>
      </c>
      <c r="F147" s="179">
        <f t="shared" si="2"/>
        <v>0</v>
      </c>
      <c r="G147" s="179">
        <f>VLOOKUP(J147,'Calc2 tőkelefutáshoz'!$A$25:$S$325,16,FALSE)</f>
        <v>0</v>
      </c>
      <c r="H147" s="183">
        <f t="shared" si="3"/>
        <v>0</v>
      </c>
      <c r="I147" s="179">
        <f>(ROUND(VLOOKUP(J147,'Calc2 tőkelefutáshoz'!$A$25:$S$325,19,FALSE),0))</f>
        <v>0</v>
      </c>
      <c r="J147" s="152">
        <f t="shared" si="1"/>
        <v>276</v>
      </c>
    </row>
    <row r="148" spans="1:13" ht="12.75" customHeight="1" x14ac:dyDescent="0.3">
      <c r="A148" s="413"/>
      <c r="B148" s="181">
        <v>24</v>
      </c>
      <c r="C148" s="179">
        <f>VLOOKUP(J148,'Calc2 tőkelefutáshoz'!$A$25:$K$326,2,FALSE)</f>
        <v>0</v>
      </c>
      <c r="D148" s="179">
        <f>VLOOKUP(J148,'Calc2 tőkelefutáshoz'!$A$25:$S$325,12,FALSE)</f>
        <v>0</v>
      </c>
      <c r="E148" s="179">
        <f>VLOOKUP(J148,'Calc2 tőkelefutáshoz'!$A$25:$S$325,13,FALSE)</f>
        <v>0</v>
      </c>
      <c r="F148" s="179">
        <f t="shared" si="2"/>
        <v>0</v>
      </c>
      <c r="G148" s="179">
        <f>VLOOKUP(J148,'Calc2 tőkelefutáshoz'!$A$25:$S$325,16,FALSE)</f>
        <v>0</v>
      </c>
      <c r="H148" s="183">
        <f t="shared" si="3"/>
        <v>0</v>
      </c>
      <c r="I148" s="179">
        <f>(ROUND(VLOOKUP(J148,'Calc2 tőkelefutáshoz'!$A$25:$S$325,19,FALSE),0))</f>
        <v>0</v>
      </c>
      <c r="J148" s="152">
        <f t="shared" si="1"/>
        <v>288</v>
      </c>
    </row>
    <row r="149" spans="1:13" ht="12.75" customHeight="1" x14ac:dyDescent="0.3">
      <c r="A149" s="413"/>
      <c r="B149" s="181">
        <v>25</v>
      </c>
      <c r="C149" s="179">
        <f>VLOOKUP(J149,'Calc2 tőkelefutáshoz'!$A$25:$K$326,2,FALSE)</f>
        <v>0</v>
      </c>
      <c r="D149" s="179">
        <f>VLOOKUP(J149,'Calc2 tőkelefutáshoz'!$A$25:$S$325,12,FALSE)</f>
        <v>0</v>
      </c>
      <c r="E149" s="179">
        <f>VLOOKUP(J149,'Calc2 tőkelefutáshoz'!$A$25:$S$325,13,FALSE)</f>
        <v>0</v>
      </c>
      <c r="F149" s="179">
        <f t="shared" si="2"/>
        <v>0</v>
      </c>
      <c r="G149" s="179">
        <f>VLOOKUP(J149,'Calc2 tőkelefutáshoz'!$A$25:$S$325,16,FALSE)</f>
        <v>0</v>
      </c>
      <c r="H149" s="183">
        <f t="shared" si="3"/>
        <v>0</v>
      </c>
      <c r="I149" s="179">
        <f>(ROUND(VLOOKUP(J149,'Calc2 tőkelefutáshoz'!$A$25:$S$325,19,FALSE),0))</f>
        <v>0</v>
      </c>
      <c r="J149" s="152">
        <f t="shared" si="1"/>
        <v>300</v>
      </c>
    </row>
    <row r="150" spans="1:13" ht="12.75" customHeight="1" x14ac:dyDescent="0.3">
      <c r="A150" s="413"/>
      <c r="B150" s="417" t="s">
        <v>70</v>
      </c>
      <c r="C150" s="418"/>
      <c r="D150" s="183">
        <f t="shared" ref="D150:H150" si="4">SUM(D125:D149)</f>
        <v>10000000</v>
      </c>
      <c r="E150" s="183">
        <f t="shared" si="4"/>
        <v>3310324</v>
      </c>
      <c r="F150" s="183">
        <f t="shared" si="4"/>
        <v>13310324</v>
      </c>
      <c r="G150" s="183">
        <f t="shared" si="4"/>
        <v>0</v>
      </c>
      <c r="H150" s="183">
        <f t="shared" si="4"/>
        <v>13310324</v>
      </c>
      <c r="I150" s="183">
        <f>SUM(I125:I149)+G150</f>
        <v>15828428</v>
      </c>
      <c r="J150" s="225"/>
    </row>
    <row r="151" spans="1:13" ht="6" customHeight="1" x14ac:dyDescent="0.3">
      <c r="A151" s="413"/>
      <c r="B151" s="434"/>
      <c r="C151" s="435"/>
      <c r="D151" s="435"/>
      <c r="E151" s="435"/>
      <c r="F151" s="435"/>
      <c r="G151" s="435"/>
      <c r="H151" s="435"/>
      <c r="I151" s="435"/>
      <c r="J151" s="436"/>
      <c r="K151" s="230"/>
      <c r="L151" s="230"/>
      <c r="M151" s="230"/>
    </row>
    <row r="152" spans="1:13" ht="97.5" customHeight="1" x14ac:dyDescent="0.3">
      <c r="A152" s="244" t="s">
        <v>176</v>
      </c>
      <c r="B152" s="422" t="s">
        <v>225</v>
      </c>
      <c r="C152" s="423"/>
      <c r="D152" s="423"/>
      <c r="E152" s="423"/>
      <c r="F152" s="423"/>
      <c r="G152" s="423"/>
      <c r="H152" s="423"/>
      <c r="I152" s="423"/>
      <c r="J152" s="424"/>
      <c r="K152" s="230"/>
      <c r="L152" s="230"/>
      <c r="M152" s="230"/>
    </row>
    <row r="153" spans="1:13" ht="93.75" customHeight="1" x14ac:dyDescent="0.3">
      <c r="A153" s="226" t="s">
        <v>177</v>
      </c>
      <c r="B153" s="422" t="s">
        <v>230</v>
      </c>
      <c r="C153" s="423"/>
      <c r="D153" s="423"/>
      <c r="E153" s="423"/>
      <c r="F153" s="423"/>
      <c r="G153" s="423"/>
      <c r="H153" s="423"/>
      <c r="I153" s="423"/>
      <c r="J153" s="424"/>
      <c r="K153" s="230"/>
      <c r="L153" s="230"/>
      <c r="M153" s="230"/>
    </row>
    <row r="154" spans="1:13" ht="27" customHeight="1" x14ac:dyDescent="0.3">
      <c r="A154" s="227"/>
      <c r="B154" s="422" t="s">
        <v>252</v>
      </c>
      <c r="C154" s="423"/>
      <c r="D154" s="423"/>
      <c r="E154" s="423"/>
      <c r="F154" s="423"/>
      <c r="G154" s="423"/>
      <c r="H154" s="423"/>
      <c r="I154" s="423"/>
      <c r="J154" s="424"/>
      <c r="K154" s="230"/>
      <c r="L154" s="230"/>
      <c r="M154" s="230"/>
    </row>
    <row r="155" spans="1:13" ht="27" customHeight="1" x14ac:dyDescent="0.3">
      <c r="A155" s="228"/>
      <c r="B155" s="422" t="s">
        <v>222</v>
      </c>
      <c r="C155" s="423"/>
      <c r="D155" s="423"/>
      <c r="E155" s="423"/>
      <c r="F155" s="423"/>
      <c r="G155" s="423"/>
      <c r="H155" s="423"/>
      <c r="I155" s="423"/>
      <c r="J155" s="424"/>
      <c r="K155" s="230"/>
      <c r="L155" s="230"/>
      <c r="M155" s="230"/>
    </row>
    <row r="156" spans="1:13" ht="69.75" customHeight="1" x14ac:dyDescent="0.3">
      <c r="A156" s="244" t="s">
        <v>178</v>
      </c>
      <c r="B156" s="422" t="s">
        <v>179</v>
      </c>
      <c r="C156" s="423"/>
      <c r="D156" s="423"/>
      <c r="E156" s="423"/>
      <c r="F156" s="423"/>
      <c r="G156" s="423"/>
      <c r="H156" s="423"/>
      <c r="I156" s="423"/>
      <c r="J156" s="424"/>
      <c r="K156" s="230"/>
      <c r="L156" s="230"/>
      <c r="M156" s="230"/>
    </row>
    <row r="157" spans="1:13" ht="55.5" customHeight="1" x14ac:dyDescent="0.3">
      <c r="A157" s="244" t="s">
        <v>180</v>
      </c>
      <c r="B157" s="344" t="s">
        <v>223</v>
      </c>
      <c r="C157" s="345"/>
      <c r="D157" s="345"/>
      <c r="E157" s="345"/>
      <c r="F157" s="345"/>
      <c r="G157" s="345"/>
      <c r="H157" s="345"/>
      <c r="I157" s="345"/>
      <c r="J157" s="346"/>
      <c r="K157" s="230"/>
      <c r="L157" s="230"/>
      <c r="M157" s="230"/>
    </row>
    <row r="158" spans="1:13" ht="267.75" customHeight="1" x14ac:dyDescent="0.3">
      <c r="A158" s="244" t="s">
        <v>181</v>
      </c>
      <c r="B158" s="422" t="s">
        <v>303</v>
      </c>
      <c r="C158" s="423"/>
      <c r="D158" s="423"/>
      <c r="E158" s="423"/>
      <c r="F158" s="423"/>
      <c r="G158" s="423"/>
      <c r="H158" s="423"/>
      <c r="I158" s="423"/>
      <c r="J158" s="424"/>
      <c r="K158" s="230"/>
      <c r="L158" s="230"/>
      <c r="M158" s="230"/>
    </row>
    <row r="159" spans="1:13" ht="141" customHeight="1" x14ac:dyDescent="0.3">
      <c r="A159" s="244" t="s">
        <v>182</v>
      </c>
      <c r="B159" s="428" t="s">
        <v>304</v>
      </c>
      <c r="C159" s="429"/>
      <c r="D159" s="429"/>
      <c r="E159" s="429"/>
      <c r="F159" s="429"/>
      <c r="G159" s="429"/>
      <c r="H159" s="429"/>
      <c r="I159" s="429"/>
      <c r="J159" s="430"/>
      <c r="K159" s="230"/>
      <c r="L159" s="230"/>
      <c r="M159" s="230"/>
    </row>
    <row r="160" spans="1:13" ht="13.8" x14ac:dyDescent="0.3">
      <c r="A160" s="491" t="s">
        <v>183</v>
      </c>
      <c r="B160" s="431" t="s">
        <v>184</v>
      </c>
      <c r="C160" s="432"/>
      <c r="D160" s="432"/>
      <c r="E160" s="432"/>
      <c r="F160" s="432"/>
      <c r="G160" s="432"/>
      <c r="H160" s="432"/>
      <c r="I160" s="432"/>
      <c r="J160" s="433"/>
      <c r="K160" s="230"/>
      <c r="L160" s="230"/>
      <c r="M160" s="230"/>
    </row>
    <row r="161" spans="1:13" ht="14.4" thickBot="1" x14ac:dyDescent="0.35">
      <c r="A161" s="492"/>
      <c r="B161" s="425" t="s">
        <v>185</v>
      </c>
      <c r="C161" s="426"/>
      <c r="D161" s="426"/>
      <c r="E161" s="426"/>
      <c r="F161" s="426"/>
      <c r="G161" s="426"/>
      <c r="H161" s="426"/>
      <c r="I161" s="426"/>
      <c r="J161" s="427"/>
      <c r="K161" s="230"/>
      <c r="L161" s="230"/>
      <c r="M161" s="230"/>
    </row>
    <row r="162" spans="1:13" ht="45" customHeight="1" thickBot="1" x14ac:dyDescent="0.35">
      <c r="A162" s="440" t="s">
        <v>308</v>
      </c>
      <c r="B162" s="441"/>
      <c r="C162" s="441"/>
      <c r="D162" s="441"/>
      <c r="E162" s="441"/>
      <c r="F162" s="441"/>
      <c r="G162" s="441"/>
      <c r="H162" s="441"/>
      <c r="I162" s="441"/>
      <c r="J162" s="442"/>
      <c r="K162" s="230"/>
      <c r="L162" s="230"/>
      <c r="M162" s="230"/>
    </row>
    <row r="163" spans="1:13" ht="26.25" customHeight="1" x14ac:dyDescent="0.25">
      <c r="A163" s="419" t="s">
        <v>224</v>
      </c>
      <c r="B163" s="420"/>
      <c r="C163" s="420"/>
      <c r="D163" s="420"/>
      <c r="E163" s="420"/>
      <c r="F163" s="420"/>
      <c r="G163" s="420"/>
      <c r="H163" s="420"/>
      <c r="I163" s="420"/>
      <c r="J163" s="421"/>
    </row>
    <row r="164" spans="1:13" ht="26.25" customHeight="1" x14ac:dyDescent="0.25">
      <c r="A164" s="245"/>
      <c r="B164" s="187"/>
      <c r="C164" s="187"/>
      <c r="D164" s="187"/>
      <c r="E164" s="187"/>
      <c r="F164" s="187"/>
      <c r="G164" s="187"/>
      <c r="H164" s="187"/>
      <c r="I164" s="187"/>
      <c r="J164" s="188"/>
    </row>
    <row r="165" spans="1:13" x14ac:dyDescent="0.25">
      <c r="A165" s="246"/>
      <c r="B165" s="189" t="s">
        <v>42</v>
      </c>
      <c r="C165" s="189"/>
      <c r="D165" s="189"/>
      <c r="E165" s="190"/>
      <c r="F165" s="191" t="s">
        <v>42</v>
      </c>
      <c r="G165" s="189"/>
      <c r="H165" s="189"/>
      <c r="I165" s="190"/>
      <c r="J165" s="192"/>
    </row>
    <row r="166" spans="1:13" ht="13.5" customHeight="1" x14ac:dyDescent="0.25">
      <c r="A166" s="247"/>
      <c r="B166" s="448" t="s">
        <v>98</v>
      </c>
      <c r="C166" s="448"/>
      <c r="D166" s="449"/>
      <c r="E166" s="190"/>
      <c r="F166" s="450" t="s">
        <v>99</v>
      </c>
      <c r="G166" s="448"/>
      <c r="H166" s="449"/>
      <c r="I166" s="190"/>
      <c r="J166" s="192"/>
    </row>
    <row r="167" spans="1:13" ht="13.5" customHeight="1" x14ac:dyDescent="0.25">
      <c r="A167" s="248" t="s">
        <v>47</v>
      </c>
      <c r="B167" s="451">
        <f>C3</f>
        <v>0</v>
      </c>
      <c r="C167" s="452"/>
      <c r="D167" s="452"/>
      <c r="E167" s="190"/>
      <c r="F167" s="445" t="s">
        <v>89</v>
      </c>
      <c r="G167" s="446"/>
      <c r="H167" s="447"/>
      <c r="I167" s="190"/>
      <c r="J167" s="192"/>
    </row>
    <row r="168" spans="1:13" ht="13.5" customHeight="1" x14ac:dyDescent="0.25">
      <c r="A168" s="248" t="s">
        <v>48</v>
      </c>
      <c r="B168" s="443" t="s">
        <v>89</v>
      </c>
      <c r="C168" s="444"/>
      <c r="D168" s="444"/>
      <c r="E168" s="193"/>
      <c r="F168" s="445" t="s">
        <v>89</v>
      </c>
      <c r="G168" s="446"/>
      <c r="H168" s="447"/>
      <c r="I168" s="190"/>
      <c r="J168" s="192"/>
    </row>
    <row r="169" spans="1:13" ht="13.5" customHeight="1" x14ac:dyDescent="0.25">
      <c r="A169" s="248" t="s">
        <v>49</v>
      </c>
      <c r="B169" s="443" t="s">
        <v>89</v>
      </c>
      <c r="C169" s="444"/>
      <c r="D169" s="444"/>
      <c r="E169" s="193"/>
      <c r="F169" s="445" t="s">
        <v>89</v>
      </c>
      <c r="G169" s="446"/>
      <c r="H169" s="447"/>
      <c r="I169" s="190"/>
      <c r="J169" s="192"/>
    </row>
    <row r="170" spans="1:13" ht="13.5" customHeight="1" x14ac:dyDescent="0.25">
      <c r="A170" s="248"/>
      <c r="B170" s="194"/>
      <c r="C170" s="194"/>
      <c r="D170" s="194"/>
      <c r="E170" s="195"/>
      <c r="F170" s="196"/>
      <c r="G170" s="194"/>
      <c r="H170" s="194"/>
      <c r="I170" s="190"/>
      <c r="J170" s="192"/>
    </row>
    <row r="171" spans="1:13" ht="13.5" customHeight="1" x14ac:dyDescent="0.25">
      <c r="A171" s="248"/>
      <c r="B171" s="194"/>
      <c r="C171" s="194"/>
      <c r="D171" s="194"/>
      <c r="E171" s="195"/>
      <c r="F171" s="196"/>
      <c r="G171" s="194"/>
      <c r="H171" s="194"/>
      <c r="I171" s="190"/>
      <c r="J171" s="192"/>
    </row>
    <row r="172" spans="1:13" ht="13.5" customHeight="1" x14ac:dyDescent="0.25">
      <c r="A172" s="246"/>
      <c r="B172" s="189" t="s">
        <v>42</v>
      </c>
      <c r="C172" s="189"/>
      <c r="D172" s="189"/>
      <c r="E172" s="190"/>
      <c r="F172" s="191" t="s">
        <v>42</v>
      </c>
      <c r="G172" s="189"/>
      <c r="H172" s="189"/>
      <c r="I172" s="190"/>
      <c r="J172" s="192"/>
    </row>
    <row r="173" spans="1:13" ht="13.5" customHeight="1" x14ac:dyDescent="0.25">
      <c r="A173" s="247"/>
      <c r="B173" s="448" t="s">
        <v>187</v>
      </c>
      <c r="C173" s="448"/>
      <c r="D173" s="449"/>
      <c r="E173" s="190"/>
      <c r="F173" s="450" t="s">
        <v>187</v>
      </c>
      <c r="G173" s="448"/>
      <c r="H173" s="449"/>
      <c r="I173" s="190"/>
      <c r="J173" s="192"/>
    </row>
    <row r="174" spans="1:13" ht="13.5" customHeight="1" x14ac:dyDescent="0.25">
      <c r="A174" s="248" t="s">
        <v>47</v>
      </c>
      <c r="B174" s="443" t="s">
        <v>89</v>
      </c>
      <c r="C174" s="444"/>
      <c r="D174" s="444"/>
      <c r="E174" s="190"/>
      <c r="F174" s="445" t="s">
        <v>89</v>
      </c>
      <c r="G174" s="446"/>
      <c r="H174" s="447"/>
      <c r="I174" s="190"/>
      <c r="J174" s="192"/>
    </row>
    <row r="175" spans="1:13" ht="13.5" customHeight="1" x14ac:dyDescent="0.25">
      <c r="A175" s="248" t="s">
        <v>48</v>
      </c>
      <c r="B175" s="443" t="s">
        <v>89</v>
      </c>
      <c r="C175" s="444"/>
      <c r="D175" s="444"/>
      <c r="E175" s="193"/>
      <c r="F175" s="445" t="s">
        <v>89</v>
      </c>
      <c r="G175" s="446"/>
      <c r="H175" s="447"/>
      <c r="I175" s="190"/>
      <c r="J175" s="192"/>
    </row>
    <row r="176" spans="1:13" ht="13.5" customHeight="1" x14ac:dyDescent="0.25">
      <c r="A176" s="248" t="s">
        <v>49</v>
      </c>
      <c r="B176" s="443" t="s">
        <v>89</v>
      </c>
      <c r="C176" s="444"/>
      <c r="D176" s="444"/>
      <c r="E176" s="193"/>
      <c r="F176" s="445" t="s">
        <v>89</v>
      </c>
      <c r="G176" s="446"/>
      <c r="H176" s="447"/>
      <c r="I176" s="190"/>
      <c r="J176" s="197"/>
    </row>
    <row r="177" spans="1:10" ht="13.5" customHeight="1" x14ac:dyDescent="0.25">
      <c r="A177" s="248"/>
      <c r="B177" s="194"/>
      <c r="C177" s="194"/>
      <c r="D177" s="194"/>
      <c r="E177" s="195"/>
      <c r="F177" s="196"/>
      <c r="G177" s="194"/>
      <c r="H177" s="194"/>
      <c r="I177" s="198"/>
      <c r="J177" s="199"/>
    </row>
    <row r="178" spans="1:10" x14ac:dyDescent="0.25">
      <c r="A178" s="247" t="s">
        <v>43</v>
      </c>
      <c r="B178" s="200"/>
      <c r="C178" s="198"/>
      <c r="D178" s="198"/>
      <c r="E178" s="198"/>
      <c r="F178" s="198"/>
      <c r="G178" s="198"/>
      <c r="H178" s="198"/>
      <c r="I178" s="198"/>
      <c r="J178" s="199"/>
    </row>
    <row r="179" spans="1:10" x14ac:dyDescent="0.25">
      <c r="A179" s="249"/>
      <c r="B179" s="200"/>
      <c r="C179" s="198"/>
      <c r="D179" s="198"/>
      <c r="E179" s="198"/>
      <c r="F179" s="198"/>
      <c r="G179" s="198"/>
      <c r="H179" s="198"/>
      <c r="I179" s="198"/>
      <c r="J179" s="199"/>
    </row>
    <row r="180" spans="1:10" x14ac:dyDescent="0.25">
      <c r="A180" s="486" t="s">
        <v>42</v>
      </c>
      <c r="B180" s="487"/>
      <c r="C180" s="487"/>
      <c r="D180" s="198"/>
      <c r="E180" s="198"/>
      <c r="F180" s="198"/>
      <c r="G180" s="198"/>
      <c r="H180" s="198"/>
      <c r="I180" s="198"/>
      <c r="J180" s="199"/>
    </row>
    <row r="181" spans="1:10" x14ac:dyDescent="0.25">
      <c r="A181" s="488" t="s">
        <v>90</v>
      </c>
      <c r="B181" s="489"/>
      <c r="C181" s="489"/>
      <c r="D181" s="198"/>
      <c r="E181" s="198"/>
      <c r="F181" s="198"/>
      <c r="G181" s="198"/>
      <c r="H181" s="198"/>
      <c r="I181" s="198"/>
      <c r="J181" s="199"/>
    </row>
    <row r="182" spans="1:10" ht="13.8" thickBot="1" x14ac:dyDescent="0.3">
      <c r="A182" s="250" t="s">
        <v>235</v>
      </c>
      <c r="B182" s="459">
        <f ca="1">NOW()</f>
        <v>45408.600107638886</v>
      </c>
      <c r="C182" s="459"/>
      <c r="D182" s="201"/>
      <c r="E182" s="201"/>
      <c r="F182" s="201"/>
      <c r="G182" s="201"/>
      <c r="H182" s="201"/>
      <c r="I182" s="201"/>
      <c r="J182" s="202"/>
    </row>
    <row r="183" spans="1:10" x14ac:dyDescent="0.25">
      <c r="A183" s="251"/>
      <c r="B183" s="203"/>
      <c r="C183" s="204"/>
      <c r="D183" s="204"/>
      <c r="E183" s="204"/>
      <c r="F183" s="204"/>
      <c r="G183" s="204"/>
      <c r="H183" s="204"/>
      <c r="I183" s="204"/>
      <c r="J183" s="205"/>
    </row>
    <row r="184" spans="1:10" ht="13.8" thickBot="1" x14ac:dyDescent="0.3">
      <c r="A184" s="251"/>
      <c r="B184" s="203"/>
      <c r="C184" s="204"/>
      <c r="D184" s="204"/>
      <c r="E184" s="204"/>
      <c r="F184" s="204"/>
      <c r="G184" s="204"/>
      <c r="H184" s="204"/>
      <c r="I184" s="204"/>
      <c r="J184" s="205"/>
    </row>
    <row r="185" spans="1:10" ht="27.75" customHeight="1" thickBot="1" x14ac:dyDescent="0.3">
      <c r="A185" s="464" t="s">
        <v>100</v>
      </c>
      <c r="B185" s="465"/>
      <c r="C185" s="465"/>
      <c r="D185" s="465"/>
      <c r="E185" s="465"/>
      <c r="F185" s="465"/>
      <c r="G185" s="465"/>
      <c r="H185" s="465"/>
      <c r="I185" s="466"/>
      <c r="J185" s="205"/>
    </row>
    <row r="186" spans="1:10" ht="59.25" customHeight="1" x14ac:dyDescent="0.25">
      <c r="A186" s="252" t="s">
        <v>101</v>
      </c>
      <c r="B186" s="475" t="str">
        <f>Calc!C1</f>
        <v>Preferált Településen Több Gyermekes Családok Otthonteremtési Kamattámogatott Hitele – 1 éves kamatperiódussal – két gyermek esetén új lakás vásárlás, építés</v>
      </c>
      <c r="C186" s="475"/>
      <c r="D186" s="476"/>
      <c r="E186" s="477" t="s">
        <v>102</v>
      </c>
      <c r="F186" s="479">
        <v>5000000</v>
      </c>
      <c r="G186" s="477" t="s">
        <v>103</v>
      </c>
      <c r="H186" s="461"/>
      <c r="I186" s="482">
        <v>240</v>
      </c>
      <c r="J186" s="205"/>
    </row>
    <row r="187" spans="1:10" x14ac:dyDescent="0.25">
      <c r="A187" s="252" t="s">
        <v>104</v>
      </c>
      <c r="B187" s="206">
        <f>'Fair bank segédtábla'!F3</f>
        <v>0.03</v>
      </c>
      <c r="C187" s="484" t="s">
        <v>105</v>
      </c>
      <c r="D187" s="485"/>
      <c r="E187" s="478"/>
      <c r="F187" s="480"/>
      <c r="G187" s="478"/>
      <c r="H187" s="481"/>
      <c r="I187" s="483"/>
      <c r="J187" s="205"/>
    </row>
    <row r="188" spans="1:10" x14ac:dyDescent="0.25">
      <c r="A188" s="471" t="s">
        <v>106</v>
      </c>
      <c r="B188" s="472"/>
      <c r="C188" s="472"/>
      <c r="D188" s="472"/>
      <c r="E188" s="473"/>
      <c r="F188" s="461" t="s">
        <v>107</v>
      </c>
      <c r="G188" s="461"/>
      <c r="H188" s="461"/>
      <c r="I188" s="474"/>
      <c r="J188" s="205"/>
    </row>
    <row r="189" spans="1:10" ht="13.5" customHeight="1" thickBot="1" x14ac:dyDescent="0.3">
      <c r="A189" s="460" t="s">
        <v>108</v>
      </c>
      <c r="B189" s="461"/>
      <c r="C189" s="461"/>
      <c r="D189" s="461"/>
      <c r="E189" s="461"/>
      <c r="F189" s="207">
        <v>0</v>
      </c>
      <c r="G189" s="207">
        <v>0.01</v>
      </c>
      <c r="H189" s="207">
        <v>0.02</v>
      </c>
      <c r="I189" s="208">
        <v>0.03</v>
      </c>
      <c r="J189" s="205"/>
    </row>
    <row r="190" spans="1:10" ht="12.75" customHeight="1" x14ac:dyDescent="0.25">
      <c r="A190" s="453" t="s">
        <v>109</v>
      </c>
      <c r="B190" s="454"/>
      <c r="C190" s="454"/>
      <c r="D190" s="454"/>
      <c r="E190" s="457">
        <f>$E$196*0.7</f>
        <v>265885.2</v>
      </c>
      <c r="F190" s="209">
        <f>F191/$E$190</f>
        <v>0.1042926792942804</v>
      </c>
      <c r="G190" s="209">
        <f>G191/$E$190</f>
        <v>0.11395525762611432</v>
      </c>
      <c r="H190" s="209">
        <f>H191/$E$190</f>
        <v>0.12410539195424516</v>
      </c>
      <c r="I190" s="210">
        <f>I191/$E$190</f>
        <v>0.13472563694371947</v>
      </c>
      <c r="J190" s="205"/>
    </row>
    <row r="191" spans="1:10" ht="13.8" thickBot="1" x14ac:dyDescent="0.3">
      <c r="A191" s="455"/>
      <c r="B191" s="456"/>
      <c r="C191" s="456"/>
      <c r="D191" s="456"/>
      <c r="E191" s="458"/>
      <c r="F191" s="211">
        <f>-PMT($B$187/12,$I$186,$F$186)</f>
        <v>27729.879892695604</v>
      </c>
      <c r="G191" s="211">
        <f>-PMT(($B$187+G189)/12,$I$186,$F$186)</f>
        <v>30299.016464970933</v>
      </c>
      <c r="H191" s="211">
        <f>-PMT(($B$187+H189)/12,$I$186,$F$186)</f>
        <v>32997.786960832869</v>
      </c>
      <c r="I191" s="212">
        <f>-PMT(($B$187+I189)/12,$I$186,$F$186)</f>
        <v>35821.552923908239</v>
      </c>
      <c r="J191" s="205"/>
    </row>
    <row r="192" spans="1:10" ht="12.75" customHeight="1" x14ac:dyDescent="0.25">
      <c r="A192" s="453" t="s">
        <v>110</v>
      </c>
      <c r="B192" s="454"/>
      <c r="C192" s="454"/>
      <c r="D192" s="454"/>
      <c r="E192" s="457">
        <f>$E$196*0.8</f>
        <v>303868.79999999999</v>
      </c>
      <c r="F192" s="209">
        <f>F193/$E$192</f>
        <v>9.1256094382495351E-2</v>
      </c>
      <c r="G192" s="209">
        <f>G193/$E$192</f>
        <v>9.9710850422850036E-2</v>
      </c>
      <c r="H192" s="209">
        <f>H193/$E$192</f>
        <v>0.10859221795996453</v>
      </c>
      <c r="I192" s="210">
        <f>I193/$E$192</f>
        <v>0.11788493232575453</v>
      </c>
      <c r="J192" s="205"/>
    </row>
    <row r="193" spans="1:10" ht="13.8" thickBot="1" x14ac:dyDescent="0.3">
      <c r="A193" s="460"/>
      <c r="B193" s="461"/>
      <c r="C193" s="461"/>
      <c r="D193" s="461"/>
      <c r="E193" s="463"/>
      <c r="F193" s="213">
        <f>F191</f>
        <v>27729.879892695604</v>
      </c>
      <c r="G193" s="213">
        <f>G191</f>
        <v>30299.016464970933</v>
      </c>
      <c r="H193" s="213">
        <f>H191</f>
        <v>32997.786960832869</v>
      </c>
      <c r="I193" s="214">
        <f>I191</f>
        <v>35821.552923908239</v>
      </c>
      <c r="J193" s="205"/>
    </row>
    <row r="194" spans="1:10" ht="12.75" customHeight="1" x14ac:dyDescent="0.25">
      <c r="A194" s="453" t="s">
        <v>111</v>
      </c>
      <c r="B194" s="454"/>
      <c r="C194" s="454"/>
      <c r="D194" s="454"/>
      <c r="E194" s="457">
        <f>E196*0.9</f>
        <v>341852.4</v>
      </c>
      <c r="F194" s="209">
        <f>F195/$E$194</f>
        <v>8.1116528339995858E-2</v>
      </c>
      <c r="G194" s="209">
        <f>G195/$E$194</f>
        <v>8.8631867042533355E-2</v>
      </c>
      <c r="H194" s="209">
        <f>H195/$E$194</f>
        <v>9.6526415964412901E-2</v>
      </c>
      <c r="I194" s="210">
        <f>I195/$E$194</f>
        <v>0.1047866065117818</v>
      </c>
      <c r="J194" s="205"/>
    </row>
    <row r="195" spans="1:10" ht="13.8" thickBot="1" x14ac:dyDescent="0.3">
      <c r="A195" s="455"/>
      <c r="B195" s="456"/>
      <c r="C195" s="456"/>
      <c r="D195" s="456"/>
      <c r="E195" s="458"/>
      <c r="F195" s="211">
        <f>F191</f>
        <v>27729.879892695604</v>
      </c>
      <c r="G195" s="211">
        <f>G191</f>
        <v>30299.016464970933</v>
      </c>
      <c r="H195" s="211">
        <f>H191</f>
        <v>32997.786960832869</v>
      </c>
      <c r="I195" s="212">
        <f>I191</f>
        <v>35821.552923908239</v>
      </c>
      <c r="J195" s="205"/>
    </row>
    <row r="196" spans="1:10" ht="12.75" customHeight="1" x14ac:dyDescent="0.25">
      <c r="A196" s="460" t="s">
        <v>112</v>
      </c>
      <c r="B196" s="461"/>
      <c r="C196" s="461"/>
      <c r="D196" s="461"/>
      <c r="E196" s="462">
        <f>'Fair bank segédtábla'!C5</f>
        <v>379836</v>
      </c>
      <c r="F196" s="215">
        <f>F197/$E$196</f>
        <v>7.3004875505996283E-2</v>
      </c>
      <c r="G196" s="215">
        <f>G197/$E$196</f>
        <v>7.9768680338280024E-2</v>
      </c>
      <c r="H196" s="215">
        <f>H197/$E$196</f>
        <v>8.6873774367971626E-2</v>
      </c>
      <c r="I196" s="216">
        <f>I197/$E$196</f>
        <v>9.430794586060362E-2</v>
      </c>
      <c r="J196" s="205"/>
    </row>
    <row r="197" spans="1:10" ht="13.8" thickBot="1" x14ac:dyDescent="0.3">
      <c r="A197" s="460"/>
      <c r="B197" s="461"/>
      <c r="C197" s="461"/>
      <c r="D197" s="461"/>
      <c r="E197" s="463"/>
      <c r="F197" s="213">
        <f>F191</f>
        <v>27729.879892695604</v>
      </c>
      <c r="G197" s="213">
        <f>G191</f>
        <v>30299.016464970933</v>
      </c>
      <c r="H197" s="213">
        <f>H191</f>
        <v>32997.786960832869</v>
      </c>
      <c r="I197" s="214">
        <f>I191</f>
        <v>35821.552923908239</v>
      </c>
      <c r="J197" s="205"/>
    </row>
    <row r="198" spans="1:10" ht="12.75" customHeight="1" x14ac:dyDescent="0.25">
      <c r="A198" s="453" t="s">
        <v>113</v>
      </c>
      <c r="B198" s="454"/>
      <c r="C198" s="454"/>
      <c r="D198" s="454"/>
      <c r="E198" s="457">
        <f>E196*1.1</f>
        <v>417819.60000000003</v>
      </c>
      <c r="F198" s="217">
        <f>F199/$E$198</f>
        <v>6.6368068641814798E-2</v>
      </c>
      <c r="G198" s="217">
        <f>G199/$E$198</f>
        <v>7.2516982125709117E-2</v>
      </c>
      <c r="H198" s="217">
        <f>H199/$E$198</f>
        <v>7.8976158516337838E-2</v>
      </c>
      <c r="I198" s="218">
        <f>I199/$E$198</f>
        <v>8.5734496236912386E-2</v>
      </c>
      <c r="J198" s="205"/>
    </row>
    <row r="199" spans="1:10" ht="13.8" thickBot="1" x14ac:dyDescent="0.3">
      <c r="A199" s="455"/>
      <c r="B199" s="456"/>
      <c r="C199" s="456"/>
      <c r="D199" s="456"/>
      <c r="E199" s="458"/>
      <c r="F199" s="211">
        <f>F191</f>
        <v>27729.879892695604</v>
      </c>
      <c r="G199" s="211">
        <f>G191</f>
        <v>30299.016464970933</v>
      </c>
      <c r="H199" s="211">
        <f>H191</f>
        <v>32997.786960832869</v>
      </c>
      <c r="I199" s="212">
        <f>I191</f>
        <v>35821.552923908239</v>
      </c>
      <c r="J199" s="205"/>
    </row>
    <row r="200" spans="1:10" ht="12.75" customHeight="1" x14ac:dyDescent="0.25">
      <c r="A200" s="460" t="s">
        <v>114</v>
      </c>
      <c r="B200" s="461"/>
      <c r="C200" s="461"/>
      <c r="D200" s="461"/>
      <c r="E200" s="462">
        <f>E196*1.2</f>
        <v>455803.2</v>
      </c>
      <c r="F200" s="215">
        <f>F201/$E$200</f>
        <v>6.0837396254996901E-2</v>
      </c>
      <c r="G200" s="215">
        <f>G201/$E$200</f>
        <v>6.647390028190002E-2</v>
      </c>
      <c r="H200" s="215">
        <f>H201/$E$200</f>
        <v>7.2394811973309686E-2</v>
      </c>
      <c r="I200" s="216">
        <f>I201/$E$200</f>
        <v>7.8589954883836355E-2</v>
      </c>
      <c r="J200" s="205"/>
    </row>
    <row r="201" spans="1:10" ht="13.8" thickBot="1" x14ac:dyDescent="0.3">
      <c r="A201" s="460"/>
      <c r="B201" s="461"/>
      <c r="C201" s="461"/>
      <c r="D201" s="461"/>
      <c r="E201" s="463"/>
      <c r="F201" s="213">
        <f>F191</f>
        <v>27729.879892695604</v>
      </c>
      <c r="G201" s="213">
        <f>G191</f>
        <v>30299.016464970933</v>
      </c>
      <c r="H201" s="213">
        <f>H191</f>
        <v>32997.786960832869</v>
      </c>
      <c r="I201" s="214">
        <f>I191</f>
        <v>35821.552923908239</v>
      </c>
      <c r="J201" s="205"/>
    </row>
    <row r="202" spans="1:10" ht="12.75" customHeight="1" x14ac:dyDescent="0.25">
      <c r="A202" s="453" t="s">
        <v>115</v>
      </c>
      <c r="B202" s="454"/>
      <c r="C202" s="454"/>
      <c r="D202" s="454"/>
      <c r="E202" s="457">
        <f>E196*1.3</f>
        <v>493786.8</v>
      </c>
      <c r="F202" s="217">
        <f>F203/$E$202</f>
        <v>5.6157596543074062E-2</v>
      </c>
      <c r="G202" s="217">
        <f>G203/$E$202</f>
        <v>6.1360523337138484E-2</v>
      </c>
      <c r="H202" s="217">
        <f>H203/$E$202</f>
        <v>6.68259802830551E-2</v>
      </c>
      <c r="I202" s="218">
        <f>I203/$E$202</f>
        <v>7.2544573738925866E-2</v>
      </c>
      <c r="J202" s="205"/>
    </row>
    <row r="203" spans="1:10" ht="13.8" thickBot="1" x14ac:dyDescent="0.3">
      <c r="A203" s="460"/>
      <c r="B203" s="461"/>
      <c r="C203" s="461"/>
      <c r="D203" s="461"/>
      <c r="E203" s="463"/>
      <c r="F203" s="213">
        <f>F191</f>
        <v>27729.879892695604</v>
      </c>
      <c r="G203" s="213">
        <f>G191</f>
        <v>30299.016464970933</v>
      </c>
      <c r="H203" s="213">
        <f>H191</f>
        <v>32997.786960832869</v>
      </c>
      <c r="I203" s="214">
        <f>I191</f>
        <v>35821.552923908239</v>
      </c>
      <c r="J203" s="205"/>
    </row>
    <row r="204" spans="1:10" ht="12.75" customHeight="1" x14ac:dyDescent="0.25">
      <c r="A204" s="468"/>
      <c r="B204" s="469"/>
      <c r="C204" s="469"/>
      <c r="D204" s="469"/>
      <c r="E204" s="469"/>
      <c r="F204" s="469"/>
      <c r="G204" s="469"/>
      <c r="H204" s="469"/>
      <c r="I204" s="469"/>
      <c r="J204" s="470"/>
    </row>
    <row r="205" spans="1:10" ht="12.75" customHeight="1" x14ac:dyDescent="0.25">
      <c r="A205" s="253" t="s">
        <v>116</v>
      </c>
      <c r="B205" s="373" t="s">
        <v>198</v>
      </c>
      <c r="C205" s="373"/>
      <c r="D205" s="373"/>
      <c r="E205" s="373"/>
      <c r="F205" s="373"/>
      <c r="G205" s="373"/>
      <c r="H205" s="373"/>
      <c r="I205" s="373"/>
      <c r="J205" s="374"/>
    </row>
    <row r="206" spans="1:10" ht="24" customHeight="1" x14ac:dyDescent="0.25">
      <c r="A206" s="254"/>
      <c r="B206" s="373"/>
      <c r="C206" s="373"/>
      <c r="D206" s="373"/>
      <c r="E206" s="373"/>
      <c r="F206" s="373"/>
      <c r="G206" s="373"/>
      <c r="H206" s="373"/>
      <c r="I206" s="373"/>
      <c r="J206" s="374"/>
    </row>
    <row r="207" spans="1:10" ht="26.25" customHeight="1" x14ac:dyDescent="0.25">
      <c r="A207" s="493" t="str">
        <f>CONCATENATE("** A táblázatban feltüntetett jövedelem a Központi Statisztikai Hivatal által nyilvánosságra hozott, a ",'Fair bank segédtábla'!C6,". évre vonatkozó, nemzetgazdaságban alkalmazásban állók havi nettó átlagkeresete alapján került meghatározásra.")</f>
        <v>** A táblázatban feltüntetett jövedelem a Központi Statisztikai Hivatal által nyilvánosságra hozott, a 2023. évre vonatkozó, nemzetgazdaságban alkalmazásban állók havi nettó átlagkeresete alapján került meghatározásra.</v>
      </c>
      <c r="B207" s="494"/>
      <c r="C207" s="494"/>
      <c r="D207" s="494"/>
      <c r="E207" s="494"/>
      <c r="F207" s="494"/>
      <c r="G207" s="494"/>
      <c r="H207" s="494"/>
      <c r="I207" s="494"/>
      <c r="J207" s="495"/>
    </row>
    <row r="208" spans="1:10" ht="35.25" customHeight="1" x14ac:dyDescent="0.25">
      <c r="A208" s="496" t="s">
        <v>186</v>
      </c>
      <c r="B208" s="497"/>
      <c r="C208" s="497"/>
      <c r="D208" s="497"/>
      <c r="E208" s="497"/>
      <c r="F208" s="497"/>
      <c r="G208" s="497"/>
      <c r="H208" s="497"/>
      <c r="I208" s="497"/>
      <c r="J208" s="498"/>
    </row>
    <row r="209" spans="1:10" x14ac:dyDescent="0.25">
      <c r="A209" s="499"/>
      <c r="B209" s="500"/>
      <c r="C209" s="500"/>
      <c r="D209" s="500"/>
      <c r="E209" s="500"/>
      <c r="F209" s="500"/>
      <c r="G209" s="500"/>
      <c r="H209" s="500"/>
      <c r="I209" s="500"/>
      <c r="J209" s="501"/>
    </row>
    <row r="210" spans="1:10" ht="13.5" customHeight="1" x14ac:dyDescent="0.25">
      <c r="A210" s="255"/>
      <c r="B210" s="187"/>
      <c r="C210" s="187"/>
      <c r="D210" s="187"/>
      <c r="E210" s="187"/>
      <c r="F210" s="187"/>
      <c r="G210" s="187"/>
      <c r="H210" s="187"/>
      <c r="I210" s="187"/>
      <c r="J210" s="188"/>
    </row>
    <row r="211" spans="1:10" ht="13.5" customHeight="1" x14ac:dyDescent="0.25">
      <c r="A211" s="246"/>
      <c r="B211" s="189" t="s">
        <v>42</v>
      </c>
      <c r="C211" s="189"/>
      <c r="D211" s="189"/>
      <c r="E211" s="190"/>
      <c r="F211" s="191" t="s">
        <v>42</v>
      </c>
      <c r="G211" s="189"/>
      <c r="H211" s="189"/>
      <c r="I211" s="190"/>
      <c r="J211" s="192"/>
    </row>
    <row r="212" spans="1:10" ht="13.5" customHeight="1" x14ac:dyDescent="0.25">
      <c r="A212" s="247"/>
      <c r="B212" s="448" t="s">
        <v>98</v>
      </c>
      <c r="C212" s="448"/>
      <c r="D212" s="449"/>
      <c r="E212" s="190"/>
      <c r="F212" s="450" t="s">
        <v>99</v>
      </c>
      <c r="G212" s="448"/>
      <c r="H212" s="449"/>
      <c r="I212" s="190"/>
      <c r="J212" s="192"/>
    </row>
    <row r="213" spans="1:10" ht="13.5" customHeight="1" x14ac:dyDescent="0.25">
      <c r="A213" s="248" t="s">
        <v>47</v>
      </c>
      <c r="B213" s="451">
        <f>C3</f>
        <v>0</v>
      </c>
      <c r="C213" s="452"/>
      <c r="D213" s="452"/>
      <c r="E213" s="190"/>
      <c r="F213" s="450" t="str">
        <f>F167</f>
        <v>…………………………………………………………………………..</v>
      </c>
      <c r="G213" s="448"/>
      <c r="H213" s="449"/>
      <c r="I213" s="190"/>
      <c r="J213" s="192"/>
    </row>
    <row r="214" spans="1:10" ht="13.5" customHeight="1" x14ac:dyDescent="0.25">
      <c r="A214" s="248" t="s">
        <v>48</v>
      </c>
      <c r="B214" s="451" t="str">
        <f>B168</f>
        <v>…………………………………………………………………………..</v>
      </c>
      <c r="C214" s="452"/>
      <c r="D214" s="452"/>
      <c r="E214" s="193"/>
      <c r="F214" s="450" t="str">
        <f>F168</f>
        <v>…………………………………………………………………………..</v>
      </c>
      <c r="G214" s="448"/>
      <c r="H214" s="449"/>
      <c r="I214" s="190"/>
      <c r="J214" s="192"/>
    </row>
    <row r="215" spans="1:10" x14ac:dyDescent="0.25">
      <c r="A215" s="248" t="s">
        <v>49</v>
      </c>
      <c r="B215" s="451" t="str">
        <f>B169</f>
        <v>…………………………………………………………………………..</v>
      </c>
      <c r="C215" s="452"/>
      <c r="D215" s="452"/>
      <c r="E215" s="193"/>
      <c r="F215" s="450" t="str">
        <f>F169</f>
        <v>…………………………………………………………………………..</v>
      </c>
      <c r="G215" s="448"/>
      <c r="H215" s="449"/>
      <c r="I215" s="190"/>
      <c r="J215" s="192"/>
    </row>
    <row r="216" spans="1:10" x14ac:dyDescent="0.25">
      <c r="A216" s="248"/>
      <c r="B216" s="194"/>
      <c r="C216" s="194"/>
      <c r="D216" s="194"/>
      <c r="E216" s="195"/>
      <c r="F216" s="196"/>
      <c r="G216" s="194"/>
      <c r="H216" s="194"/>
      <c r="I216" s="190"/>
      <c r="J216" s="192"/>
    </row>
    <row r="217" spans="1:10" ht="13.5" customHeight="1" x14ac:dyDescent="0.25">
      <c r="A217" s="248"/>
      <c r="B217" s="194"/>
      <c r="C217" s="194"/>
      <c r="D217" s="194"/>
      <c r="E217" s="195"/>
      <c r="F217" s="196"/>
      <c r="G217" s="194"/>
      <c r="H217" s="194"/>
      <c r="I217" s="190"/>
      <c r="J217" s="192"/>
    </row>
    <row r="218" spans="1:10" ht="13.5" customHeight="1" x14ac:dyDescent="0.25">
      <c r="A218" s="246"/>
      <c r="B218" s="189" t="s">
        <v>42</v>
      </c>
      <c r="C218" s="189"/>
      <c r="D218" s="189"/>
      <c r="E218" s="190"/>
      <c r="F218" s="191" t="s">
        <v>42</v>
      </c>
      <c r="G218" s="189"/>
      <c r="H218" s="189"/>
      <c r="I218" s="190"/>
      <c r="J218" s="192"/>
    </row>
    <row r="219" spans="1:10" ht="13.5" customHeight="1" x14ac:dyDescent="0.25">
      <c r="A219" s="247"/>
      <c r="B219" s="448" t="s">
        <v>187</v>
      </c>
      <c r="C219" s="448"/>
      <c r="D219" s="449"/>
      <c r="E219" s="190"/>
      <c r="F219" s="450" t="s">
        <v>187</v>
      </c>
      <c r="G219" s="448"/>
      <c r="H219" s="449"/>
      <c r="I219" s="190"/>
      <c r="J219" s="192"/>
    </row>
    <row r="220" spans="1:10" ht="13.5" customHeight="1" x14ac:dyDescent="0.25">
      <c r="A220" s="248" t="s">
        <v>47</v>
      </c>
      <c r="B220" s="451" t="str">
        <f>B174</f>
        <v>…………………………………………………………………………..</v>
      </c>
      <c r="C220" s="452"/>
      <c r="D220" s="452"/>
      <c r="E220" s="190"/>
      <c r="F220" s="450" t="str">
        <f>F174</f>
        <v>…………………………………………………………………………..</v>
      </c>
      <c r="G220" s="448"/>
      <c r="H220" s="449"/>
      <c r="I220" s="190"/>
      <c r="J220" s="192"/>
    </row>
    <row r="221" spans="1:10" ht="13.5" customHeight="1" x14ac:dyDescent="0.25">
      <c r="A221" s="248" t="s">
        <v>48</v>
      </c>
      <c r="B221" s="451" t="str">
        <f>B175</f>
        <v>…………………………………………………………………………..</v>
      </c>
      <c r="C221" s="452"/>
      <c r="D221" s="452"/>
      <c r="E221" s="193"/>
      <c r="F221" s="450" t="str">
        <f>F175</f>
        <v>…………………………………………………………………………..</v>
      </c>
      <c r="G221" s="448"/>
      <c r="H221" s="449"/>
      <c r="I221" s="190"/>
      <c r="J221" s="192"/>
    </row>
    <row r="222" spans="1:10" x14ac:dyDescent="0.25">
      <c r="A222" s="248" t="s">
        <v>49</v>
      </c>
      <c r="B222" s="451" t="str">
        <f>B176</f>
        <v>…………………………………………………………………………..</v>
      </c>
      <c r="C222" s="452"/>
      <c r="D222" s="452"/>
      <c r="E222" s="193"/>
      <c r="F222" s="450" t="str">
        <f>F176</f>
        <v>…………………………………………………………………………..</v>
      </c>
      <c r="G222" s="448"/>
      <c r="H222" s="449"/>
      <c r="I222" s="190"/>
      <c r="J222" s="197"/>
    </row>
    <row r="223" spans="1:10" x14ac:dyDescent="0.25">
      <c r="A223" s="256"/>
      <c r="B223" s="194"/>
      <c r="C223" s="194"/>
      <c r="D223" s="194"/>
      <c r="E223" s="195"/>
      <c r="F223" s="196"/>
      <c r="G223" s="194"/>
      <c r="H223" s="194"/>
      <c r="I223" s="198"/>
      <c r="J223" s="199"/>
    </row>
    <row r="224" spans="1:10" x14ac:dyDescent="0.25">
      <c r="A224" s="257" t="s">
        <v>43</v>
      </c>
      <c r="B224" s="200"/>
      <c r="C224" s="198"/>
      <c r="D224" s="198"/>
      <c r="E224" s="198"/>
      <c r="F224" s="198"/>
      <c r="G224" s="198"/>
      <c r="H224" s="198"/>
      <c r="I224" s="198"/>
      <c r="J224" s="199"/>
    </row>
    <row r="225" spans="1:10" x14ac:dyDescent="0.25">
      <c r="A225" s="258"/>
      <c r="B225" s="200"/>
      <c r="C225" s="198"/>
      <c r="D225" s="198"/>
      <c r="E225" s="198"/>
      <c r="F225" s="198"/>
      <c r="G225" s="198"/>
      <c r="H225" s="198"/>
      <c r="I225" s="198"/>
      <c r="J225" s="199"/>
    </row>
    <row r="226" spans="1:10" x14ac:dyDescent="0.25">
      <c r="A226" s="486" t="s">
        <v>42</v>
      </c>
      <c r="B226" s="487"/>
      <c r="C226" s="487"/>
      <c r="D226" s="198"/>
      <c r="E226" s="198"/>
      <c r="F226" s="198"/>
      <c r="G226" s="198"/>
      <c r="H226" s="198"/>
      <c r="I226" s="198"/>
      <c r="J226" s="199"/>
    </row>
    <row r="227" spans="1:10" x14ac:dyDescent="0.25">
      <c r="A227" s="488" t="s">
        <v>90</v>
      </c>
      <c r="B227" s="489"/>
      <c r="C227" s="489"/>
      <c r="D227" s="198"/>
      <c r="E227" s="198"/>
      <c r="F227" s="198"/>
      <c r="G227" s="198"/>
      <c r="H227" s="198"/>
      <c r="I227" s="198"/>
      <c r="J227" s="199"/>
    </row>
    <row r="228" spans="1:10" ht="13.8" thickBot="1" x14ac:dyDescent="0.3">
      <c r="A228" s="258" t="s">
        <v>235</v>
      </c>
      <c r="B228" s="459">
        <f ca="1">NOW()</f>
        <v>45408.600107638886</v>
      </c>
      <c r="C228" s="459"/>
      <c r="D228" s="201"/>
      <c r="E228" s="201"/>
      <c r="F228" s="201"/>
      <c r="G228" s="201"/>
      <c r="H228" s="201"/>
      <c r="I228" s="201"/>
      <c r="J228" s="202"/>
    </row>
  </sheetData>
  <sheetProtection formatCells="0" formatColumns="0" formatRows="0"/>
  <mergeCells count="218">
    <mergeCell ref="B14:J15"/>
    <mergeCell ref="B22:J23"/>
    <mergeCell ref="F68:J68"/>
    <mergeCell ref="F69:J69"/>
    <mergeCell ref="F70:J70"/>
    <mergeCell ref="B68:E68"/>
    <mergeCell ref="B69:E69"/>
    <mergeCell ref="E71:J71"/>
    <mergeCell ref="B66:J66"/>
    <mergeCell ref="B37:E37"/>
    <mergeCell ref="B27:C27"/>
    <mergeCell ref="B29:C29"/>
    <mergeCell ref="D29:J29"/>
    <mergeCell ref="D27:J27"/>
    <mergeCell ref="B43:J43"/>
    <mergeCell ref="B46:J46"/>
    <mergeCell ref="B47:J47"/>
    <mergeCell ref="B31:E31"/>
    <mergeCell ref="B42:J42"/>
    <mergeCell ref="B48:J48"/>
    <mergeCell ref="B44:J44"/>
    <mergeCell ref="B45:J45"/>
    <mergeCell ref="B28:J28"/>
    <mergeCell ref="B30:C30"/>
    <mergeCell ref="A51:A52"/>
    <mergeCell ref="B53:J53"/>
    <mergeCell ref="B54:J54"/>
    <mergeCell ref="B55:J55"/>
    <mergeCell ref="B56:D56"/>
    <mergeCell ref="E56:H56"/>
    <mergeCell ref="I56:J56"/>
    <mergeCell ref="A68:A70"/>
    <mergeCell ref="B63:C63"/>
    <mergeCell ref="B57:J57"/>
    <mergeCell ref="B58:J58"/>
    <mergeCell ref="B59:J59"/>
    <mergeCell ref="B60:J60"/>
    <mergeCell ref="B52:J52"/>
    <mergeCell ref="B61:J61"/>
    <mergeCell ref="B62:J62"/>
    <mergeCell ref="E63:J63"/>
    <mergeCell ref="A83:A85"/>
    <mergeCell ref="B83:J85"/>
    <mergeCell ref="B75:J75"/>
    <mergeCell ref="B76:J76"/>
    <mergeCell ref="B77:J77"/>
    <mergeCell ref="B72:D73"/>
    <mergeCell ref="F73:J73"/>
    <mergeCell ref="B81:F81"/>
    <mergeCell ref="G81:J81"/>
    <mergeCell ref="B74:C74"/>
    <mergeCell ref="D74:J74"/>
    <mergeCell ref="F72:J72"/>
    <mergeCell ref="A71:A74"/>
    <mergeCell ref="B71:D71"/>
    <mergeCell ref="B50:J50"/>
    <mergeCell ref="B40:J40"/>
    <mergeCell ref="B41:J41"/>
    <mergeCell ref="B34:J34"/>
    <mergeCell ref="A226:C226"/>
    <mergeCell ref="A227:C227"/>
    <mergeCell ref="B214:D214"/>
    <mergeCell ref="F214:H214"/>
    <mergeCell ref="B215:D215"/>
    <mergeCell ref="F215:H215"/>
    <mergeCell ref="A160:A161"/>
    <mergeCell ref="A207:J207"/>
    <mergeCell ref="A208:J208"/>
    <mergeCell ref="A209:J209"/>
    <mergeCell ref="B212:D212"/>
    <mergeCell ref="F212:H212"/>
    <mergeCell ref="B213:D213"/>
    <mergeCell ref="F213:H213"/>
    <mergeCell ref="A200:D201"/>
    <mergeCell ref="E200:E201"/>
    <mergeCell ref="A202:D203"/>
    <mergeCell ref="E202:E203"/>
    <mergeCell ref="A190:D191"/>
    <mergeCell ref="E190:E191"/>
    <mergeCell ref="A192:D193"/>
    <mergeCell ref="E192:E193"/>
    <mergeCell ref="B182:C182"/>
    <mergeCell ref="A185:I185"/>
    <mergeCell ref="A86:A97"/>
    <mergeCell ref="B92:C92"/>
    <mergeCell ref="E92:J92"/>
    <mergeCell ref="B96:D96"/>
    <mergeCell ref="A204:J204"/>
    <mergeCell ref="A188:E188"/>
    <mergeCell ref="F188:I188"/>
    <mergeCell ref="A189:E189"/>
    <mergeCell ref="B186:D186"/>
    <mergeCell ref="E186:E187"/>
    <mergeCell ref="F186:F187"/>
    <mergeCell ref="G186:H187"/>
    <mergeCell ref="I186:I187"/>
    <mergeCell ref="C187:D187"/>
    <mergeCell ref="B175:D175"/>
    <mergeCell ref="F175:H175"/>
    <mergeCell ref="B176:D176"/>
    <mergeCell ref="F176:H176"/>
    <mergeCell ref="A180:C180"/>
    <mergeCell ref="A181:C181"/>
    <mergeCell ref="B205:J206"/>
    <mergeCell ref="A194:D195"/>
    <mergeCell ref="E194:E195"/>
    <mergeCell ref="B228:C228"/>
    <mergeCell ref="B220:D220"/>
    <mergeCell ref="F220:H220"/>
    <mergeCell ref="B221:D221"/>
    <mergeCell ref="F221:H221"/>
    <mergeCell ref="B222:D222"/>
    <mergeCell ref="F222:H222"/>
    <mergeCell ref="B219:D219"/>
    <mergeCell ref="F219:H219"/>
    <mergeCell ref="A196:D197"/>
    <mergeCell ref="E196:E197"/>
    <mergeCell ref="A198:D199"/>
    <mergeCell ref="E198:E199"/>
    <mergeCell ref="B169:D169"/>
    <mergeCell ref="F169:H169"/>
    <mergeCell ref="B173:D173"/>
    <mergeCell ref="F173:H173"/>
    <mergeCell ref="B174:D174"/>
    <mergeCell ref="F174:H174"/>
    <mergeCell ref="B166:D166"/>
    <mergeCell ref="F166:H166"/>
    <mergeCell ref="B167:D167"/>
    <mergeCell ref="F167:H167"/>
    <mergeCell ref="B168:D168"/>
    <mergeCell ref="F168:H168"/>
    <mergeCell ref="A101:A151"/>
    <mergeCell ref="B101:J101"/>
    <mergeCell ref="B102:J102"/>
    <mergeCell ref="B103:J103"/>
    <mergeCell ref="B119:C119"/>
    <mergeCell ref="A163:J163"/>
    <mergeCell ref="B150:C150"/>
    <mergeCell ref="B152:J152"/>
    <mergeCell ref="B153:J153"/>
    <mergeCell ref="B154:J154"/>
    <mergeCell ref="B161:J161"/>
    <mergeCell ref="B159:J159"/>
    <mergeCell ref="B160:J160"/>
    <mergeCell ref="B157:J157"/>
    <mergeCell ref="B158:J158"/>
    <mergeCell ref="B155:J155"/>
    <mergeCell ref="B156:J156"/>
    <mergeCell ref="B151:J151"/>
    <mergeCell ref="B120:J120"/>
    <mergeCell ref="B121:J121"/>
    <mergeCell ref="A162:J162"/>
    <mergeCell ref="B90:J90"/>
    <mergeCell ref="B95:J95"/>
    <mergeCell ref="B97:J97"/>
    <mergeCell ref="B98:J98"/>
    <mergeCell ref="B78:J78"/>
    <mergeCell ref="B86:J86"/>
    <mergeCell ref="B79:J79"/>
    <mergeCell ref="B80:J80"/>
    <mergeCell ref="B82:J82"/>
    <mergeCell ref="B87:E87"/>
    <mergeCell ref="B89:E89"/>
    <mergeCell ref="F96:J96"/>
    <mergeCell ref="E91:J91"/>
    <mergeCell ref="B93:C93"/>
    <mergeCell ref="B94:C94"/>
    <mergeCell ref="E93:J93"/>
    <mergeCell ref="E94:J94"/>
    <mergeCell ref="B91:C91"/>
    <mergeCell ref="A1:J1"/>
    <mergeCell ref="A3:B3"/>
    <mergeCell ref="A21:A23"/>
    <mergeCell ref="A2:J2"/>
    <mergeCell ref="B4:J4"/>
    <mergeCell ref="B5:J5"/>
    <mergeCell ref="B18:J18"/>
    <mergeCell ref="B19:J19"/>
    <mergeCell ref="B20:J20"/>
    <mergeCell ref="B6:D6"/>
    <mergeCell ref="B7:D7"/>
    <mergeCell ref="B8:D8"/>
    <mergeCell ref="B16:J16"/>
    <mergeCell ref="B17:J17"/>
    <mergeCell ref="B9:E9"/>
    <mergeCell ref="B10:E10"/>
    <mergeCell ref="B11:E11"/>
    <mergeCell ref="E6:J6"/>
    <mergeCell ref="E7:J7"/>
    <mergeCell ref="E8:J8"/>
    <mergeCell ref="C3:J3"/>
    <mergeCell ref="F9:J9"/>
    <mergeCell ref="F10:J10"/>
    <mergeCell ref="F11:J11"/>
    <mergeCell ref="A99:A100"/>
    <mergeCell ref="B100:J100"/>
    <mergeCell ref="A6:A11"/>
    <mergeCell ref="E65:J65"/>
    <mergeCell ref="B12:J12"/>
    <mergeCell ref="B21:J21"/>
    <mergeCell ref="B24:J24"/>
    <mergeCell ref="B13:J13"/>
    <mergeCell ref="A43:A45"/>
    <mergeCell ref="A46:A47"/>
    <mergeCell ref="B51:J51"/>
    <mergeCell ref="B39:J39"/>
    <mergeCell ref="B25:J25"/>
    <mergeCell ref="B26:J26"/>
    <mergeCell ref="B33:J33"/>
    <mergeCell ref="B35:J35"/>
    <mergeCell ref="B36:C36"/>
    <mergeCell ref="B49:J49"/>
    <mergeCell ref="B70:E70"/>
    <mergeCell ref="B65:C65"/>
    <mergeCell ref="B64:J64"/>
    <mergeCell ref="B67:J67"/>
    <mergeCell ref="B99:I99"/>
    <mergeCell ref="B88:J88"/>
  </mergeCells>
  <hyperlinks>
    <hyperlink ref="B61:J61" r:id="rId1" display="https://www.mnb.hu/fogyasztovedelem/csaladi-zold-penzugyek/" xr:uid="{00000000-0004-0000-0100-000000000000}"/>
  </hyperlinks>
  <printOptions horizontalCentered="1"/>
  <pageMargins left="0.19685039370078741" right="0.19685039370078741" top="0.98425196850393704" bottom="0.98425196850393704" header="0.51181102362204722" footer="0.51181102362204722"/>
  <pageSetup paperSize="9" scale="55" fitToHeight="6" orientation="portrait" r:id="rId2"/>
  <headerFooter alignWithMargins="0">
    <oddHeader>&amp;C&amp;P / &amp;N&amp;R&amp;"Arial,Félkövér"JTA003_01</oddHeader>
  </headerFooter>
  <rowBreaks count="5" manualBreakCount="5">
    <brk id="23" max="9" man="1"/>
    <brk id="61" max="9" man="1"/>
    <brk id="97" max="9" man="1"/>
    <brk id="151" max="9" man="1"/>
    <brk id="18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4">
    <pageSetUpPr fitToPage="1"/>
  </sheetPr>
  <dimension ref="A1:F15"/>
  <sheetViews>
    <sheetView zoomScaleNormal="100" workbookViewId="0">
      <selection activeCell="E9" sqref="E9"/>
    </sheetView>
  </sheetViews>
  <sheetFormatPr defaultColWidth="9.109375" defaultRowHeight="13.2" x14ac:dyDescent="0.25"/>
  <cols>
    <col min="1" max="1" width="34.33203125" style="36" customWidth="1"/>
    <col min="2" max="2" width="35.5546875" style="36" bestFit="1" customWidth="1"/>
    <col min="3" max="3" width="17" style="36" bestFit="1" customWidth="1"/>
    <col min="4" max="4" width="23.5546875" style="36" hidden="1" customWidth="1"/>
    <col min="5" max="5" width="24.88671875" style="36" customWidth="1"/>
    <col min="6" max="6" width="14.5546875" style="36" customWidth="1"/>
    <col min="7" max="16384" width="9.109375" style="36"/>
  </cols>
  <sheetData>
    <row r="1" spans="1:6" ht="42.75" customHeight="1" x14ac:dyDescent="0.25">
      <c r="A1" s="35"/>
      <c r="B1" s="35"/>
    </row>
    <row r="2" spans="1:6" ht="27" customHeight="1" x14ac:dyDescent="0.25">
      <c r="A2" s="42" t="s">
        <v>29</v>
      </c>
      <c r="B2" s="37"/>
      <c r="C2" s="37"/>
      <c r="D2" s="37"/>
      <c r="E2" s="37"/>
      <c r="F2" s="37"/>
    </row>
    <row r="3" spans="1:6" ht="17.25" customHeight="1" x14ac:dyDescent="0.25">
      <c r="A3" s="35"/>
      <c r="B3" s="35"/>
    </row>
    <row r="4" spans="1:6" s="48" customFormat="1" ht="13.8" x14ac:dyDescent="0.3">
      <c r="A4" s="547" t="s">
        <v>0</v>
      </c>
      <c r="B4" s="547"/>
      <c r="C4" s="47">
        <f>Calc!C2</f>
        <v>10000000</v>
      </c>
      <c r="D4" s="45">
        <f>Calc!C2</f>
        <v>10000000</v>
      </c>
    </row>
    <row r="5" spans="1:6" s="41" customFormat="1" x14ac:dyDescent="0.25">
      <c r="A5" s="38"/>
      <c r="B5" s="38"/>
      <c r="C5" s="39"/>
      <c r="D5" s="40"/>
    </row>
    <row r="6" spans="1:6" s="43" customFormat="1" x14ac:dyDescent="0.25">
      <c r="A6" s="51"/>
      <c r="B6" s="51"/>
      <c r="C6" s="52"/>
      <c r="D6" s="53"/>
    </row>
    <row r="7" spans="1:6" s="48" customFormat="1" ht="13.8" x14ac:dyDescent="0.3">
      <c r="A7" s="54" t="s">
        <v>30</v>
      </c>
      <c r="B7" s="54" t="s">
        <v>75</v>
      </c>
      <c r="C7" s="55" t="s">
        <v>31</v>
      </c>
      <c r="D7" s="54" t="s">
        <v>76</v>
      </c>
      <c r="E7" s="54" t="s">
        <v>85</v>
      </c>
    </row>
    <row r="8" spans="1:6" s="50" customFormat="1" ht="69" x14ac:dyDescent="0.25">
      <c r="A8" s="56" t="s">
        <v>32</v>
      </c>
      <c r="B8" s="56" t="s">
        <v>305</v>
      </c>
      <c r="C8" s="46">
        <f>C4*0.0008366</f>
        <v>8366</v>
      </c>
      <c r="D8" s="44">
        <v>987790.44</v>
      </c>
      <c r="E8" s="57" t="str">
        <f>IF(C4&lt;20000000,"Csatlakozási nyilatkozat",IF(C4&gt;20000000,"Csatlakozási nyilatkozat és orvosi vizsgálat","Csatlakozási nyilatkozat és egészségügyi kérdőív"))</f>
        <v>Csatlakozási nyilatkozat</v>
      </c>
    </row>
    <row r="9" spans="1:6" s="50" customFormat="1" ht="69" x14ac:dyDescent="0.25">
      <c r="A9" s="56" t="s">
        <v>33</v>
      </c>
      <c r="B9" s="56" t="s">
        <v>306</v>
      </c>
      <c r="C9" s="46">
        <f>C4*0.0005082</f>
        <v>5082</v>
      </c>
      <c r="D9" s="44">
        <v>569757.72</v>
      </c>
      <c r="E9" s="57" t="s">
        <v>34</v>
      </c>
    </row>
    <row r="10" spans="1:6" s="50" customFormat="1" ht="27.6" x14ac:dyDescent="0.25">
      <c r="A10" s="56" t="s">
        <v>35</v>
      </c>
      <c r="B10" s="56" t="s">
        <v>307</v>
      </c>
      <c r="C10" s="46">
        <f>C4*0.0003738</f>
        <v>3738</v>
      </c>
      <c r="D10" s="44">
        <v>420581.7</v>
      </c>
      <c r="E10" s="57" t="s">
        <v>34</v>
      </c>
    </row>
    <row r="11" spans="1:6" s="48" customFormat="1" x14ac:dyDescent="0.25"/>
    <row r="12" spans="1:6" s="48" customFormat="1" x14ac:dyDescent="0.25">
      <c r="A12" s="49" t="s">
        <v>18</v>
      </c>
    </row>
    <row r="13" spans="1:6" s="48" customFormat="1" x14ac:dyDescent="0.25"/>
    <row r="14" spans="1:6" s="48" customFormat="1" ht="13.8" x14ac:dyDescent="0.3">
      <c r="A14" s="74" t="s">
        <v>241</v>
      </c>
    </row>
    <row r="15" spans="1:6" s="48" customFormat="1" x14ac:dyDescent="0.25"/>
  </sheetData>
  <mergeCells count="1">
    <mergeCell ref="A4:B4"/>
  </mergeCells>
  <phoneticPr fontId="0" type="noConversion"/>
  <pageMargins left="0.75" right="0.75" top="1" bottom="1" header="0.5" footer="0.5"/>
  <pageSetup paperSize="9" orientation="landscape"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9">
    <tabColor rgb="FFFF0000"/>
    <pageSetUpPr fitToPage="1"/>
  </sheetPr>
  <dimension ref="A1:IV326"/>
  <sheetViews>
    <sheetView showGridLines="0" zoomScale="90" zoomScaleNormal="90" zoomScaleSheetLayoutView="50" workbookViewId="0">
      <selection activeCell="C1" sqref="C1:H1"/>
    </sheetView>
  </sheetViews>
  <sheetFormatPr defaultColWidth="9.109375" defaultRowHeight="13.8" x14ac:dyDescent="0.3"/>
  <cols>
    <col min="1" max="1" width="7.6640625" style="17" customWidth="1"/>
    <col min="2" max="2" width="19.5546875" style="17" customWidth="1"/>
    <col min="3" max="3" width="15.33203125" style="17" customWidth="1"/>
    <col min="4" max="4" width="14.6640625" style="17" customWidth="1"/>
    <col min="5" max="5" width="11" style="17" customWidth="1"/>
    <col min="6" max="6" width="30" style="17" customWidth="1"/>
    <col min="7" max="7" width="19.33203125" style="17" customWidth="1"/>
    <col min="8" max="8" width="23.6640625" style="17" customWidth="1"/>
    <col min="9" max="9" width="19.44140625" style="17" hidden="1" customWidth="1"/>
    <col min="10" max="10" width="15.5546875" style="17" customWidth="1"/>
    <col min="11" max="11" width="14.88671875" style="17" customWidth="1"/>
    <col min="12" max="12" width="13.88671875" style="17" hidden="1"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22" t="s">
        <v>20</v>
      </c>
      <c r="B1" s="322"/>
      <c r="C1" s="341" t="s">
        <v>237</v>
      </c>
      <c r="D1" s="341"/>
      <c r="E1" s="341"/>
      <c r="F1" s="341"/>
      <c r="G1" s="341"/>
      <c r="H1" s="341"/>
      <c r="I1" s="17"/>
      <c r="J1" s="18"/>
      <c r="K1" s="124"/>
      <c r="M1" s="138" t="s">
        <v>125</v>
      </c>
      <c r="AB1" s="19" t="s">
        <v>83</v>
      </c>
    </row>
    <row r="2" spans="1:28" s="19" customFormat="1" ht="12.75" customHeight="1" x14ac:dyDescent="0.3">
      <c r="A2" s="323" t="s">
        <v>0</v>
      </c>
      <c r="B2" s="323"/>
      <c r="C2" s="114">
        <f>+Calc!C2</f>
        <v>10000000</v>
      </c>
      <c r="D2" s="322"/>
      <c r="E2" s="322"/>
      <c r="F2" s="150"/>
      <c r="G2" s="17"/>
      <c r="H2" s="17"/>
      <c r="I2" s="17"/>
      <c r="J2" s="21">
        <v>1</v>
      </c>
      <c r="AB2" s="19">
        <v>0</v>
      </c>
    </row>
    <row r="3" spans="1:28" s="19" customFormat="1" ht="12.75" customHeight="1" x14ac:dyDescent="0.3">
      <c r="A3" s="323" t="s">
        <v>25</v>
      </c>
      <c r="B3" s="323"/>
      <c r="C3" s="113">
        <f>+Calc!C3</f>
        <v>240</v>
      </c>
      <c r="E3" s="14" t="s">
        <v>11</v>
      </c>
      <c r="F3" s="22">
        <f>+'THM calc'!F3</f>
        <v>3.1226375998649525E-2</v>
      </c>
      <c r="G3" s="291"/>
      <c r="H3" s="17"/>
      <c r="I3" s="17"/>
      <c r="J3" s="21">
        <v>3</v>
      </c>
      <c r="K3" s="21"/>
      <c r="AB3" s="19">
        <v>6</v>
      </c>
    </row>
    <row r="4" spans="1:28" s="19" customFormat="1" ht="26.25" customHeight="1" thickBot="1" x14ac:dyDescent="0.35">
      <c r="A4" s="334" t="s">
        <v>82</v>
      </c>
      <c r="B4" s="323"/>
      <c r="C4" s="1">
        <f>+Calc!C4</f>
        <v>0.03</v>
      </c>
      <c r="D4" s="115"/>
      <c r="E4" s="291"/>
      <c r="F4" s="291"/>
      <c r="G4" s="291"/>
      <c r="H4" s="17"/>
      <c r="I4" s="17"/>
      <c r="J4" s="21" t="s">
        <v>13</v>
      </c>
      <c r="K4" s="21"/>
      <c r="AB4" s="19">
        <v>12</v>
      </c>
    </row>
    <row r="5" spans="1:28" s="19" customFormat="1" ht="27.75" customHeight="1" x14ac:dyDescent="0.3">
      <c r="A5" s="334" t="s">
        <v>232</v>
      </c>
      <c r="B5" s="323"/>
      <c r="C5" s="1">
        <f>+Calc!C5</f>
        <v>4.7734999999999986E-2</v>
      </c>
      <c r="D5" s="291"/>
      <c r="G5" s="291"/>
      <c r="H5" s="335" t="s">
        <v>87</v>
      </c>
      <c r="I5" s="336"/>
      <c r="J5" s="286" t="s">
        <v>14</v>
      </c>
      <c r="K5" s="21"/>
      <c r="AB5" s="125">
        <v>18</v>
      </c>
    </row>
    <row r="6" spans="1:28" s="19" customFormat="1" ht="12.75" customHeight="1" x14ac:dyDescent="0.3">
      <c r="A6" s="323" t="s">
        <v>22</v>
      </c>
      <c r="B6" s="323"/>
      <c r="C6" s="1">
        <f>+Calc!C6</f>
        <v>0</v>
      </c>
      <c r="D6" s="291"/>
      <c r="E6" s="325" t="s">
        <v>231</v>
      </c>
      <c r="F6" s="326"/>
      <c r="G6" s="283">
        <f>+Calc!G6</f>
        <v>0</v>
      </c>
      <c r="H6" s="337"/>
      <c r="I6" s="338"/>
      <c r="J6" s="287"/>
      <c r="K6" s="21"/>
      <c r="AB6" s="19">
        <v>24</v>
      </c>
    </row>
    <row r="7" spans="1:28" s="19" customFormat="1" ht="12.75" customHeight="1" x14ac:dyDescent="0.3">
      <c r="A7" s="324" t="s">
        <v>2</v>
      </c>
      <c r="B7" s="324"/>
      <c r="C7" s="3">
        <f>+Calc!C7</f>
        <v>0</v>
      </c>
      <c r="D7" s="291"/>
      <c r="H7" s="337"/>
      <c r="I7" s="338"/>
      <c r="J7" s="281"/>
      <c r="K7" s="17"/>
    </row>
    <row r="8" spans="1:28" s="19" customFormat="1" ht="12.75" customHeight="1" x14ac:dyDescent="0.3">
      <c r="A8" s="324" t="s">
        <v>3</v>
      </c>
      <c r="B8" s="324"/>
      <c r="C8" s="3">
        <f>+Calc!C8</f>
        <v>0</v>
      </c>
      <c r="D8" s="291"/>
      <c r="H8" s="337"/>
      <c r="I8" s="338"/>
      <c r="J8" s="281"/>
      <c r="K8" s="17"/>
    </row>
    <row r="9" spans="1:28" s="19" customFormat="1" x14ac:dyDescent="0.3">
      <c r="A9" s="323" t="s">
        <v>21</v>
      </c>
      <c r="B9" s="323"/>
      <c r="C9" s="2">
        <f>+Calc!C9</f>
        <v>0</v>
      </c>
      <c r="D9" s="291"/>
      <c r="E9" s="292" t="s">
        <v>8</v>
      </c>
      <c r="F9" s="293"/>
      <c r="G9" s="284">
        <f>+VLOOKUP(G6+1,A25:F325,6,0)</f>
        <v>55460</v>
      </c>
      <c r="H9" s="337"/>
      <c r="I9" s="338"/>
      <c r="J9" s="288"/>
      <c r="K9" s="17"/>
    </row>
    <row r="10" spans="1:28" s="19" customFormat="1" ht="12.75" customHeight="1" x14ac:dyDescent="0.3">
      <c r="A10" s="324" t="s">
        <v>2</v>
      </c>
      <c r="B10" s="324"/>
      <c r="C10" s="3">
        <f>+Calc!C10</f>
        <v>0</v>
      </c>
      <c r="D10" s="291"/>
      <c r="E10" s="281"/>
      <c r="F10" s="282"/>
      <c r="G10" s="17"/>
      <c r="H10" s="337"/>
      <c r="I10" s="338"/>
      <c r="J10" s="330" t="s">
        <v>37</v>
      </c>
      <c r="K10" s="331"/>
      <c r="L10" s="25"/>
      <c r="M10" s="20"/>
      <c r="N10" s="20"/>
      <c r="O10" s="20"/>
      <c r="P10" s="20"/>
      <c r="Q10" s="20"/>
      <c r="R10" s="20"/>
    </row>
    <row r="11" spans="1:28" s="19" customFormat="1" x14ac:dyDescent="0.3">
      <c r="A11" s="324" t="s">
        <v>3</v>
      </c>
      <c r="B11" s="324"/>
      <c r="C11" s="3">
        <f>+Calc!C11</f>
        <v>0</v>
      </c>
      <c r="D11" s="291"/>
      <c r="E11" s="325" t="s">
        <v>238</v>
      </c>
      <c r="F11" s="326"/>
      <c r="G11" s="285">
        <f>$G9+($C$2*0.0008366)</f>
        <v>63826</v>
      </c>
      <c r="H11" s="337"/>
      <c r="I11" s="338"/>
      <c r="J11" s="332"/>
      <c r="K11" s="333"/>
      <c r="L11" s="26"/>
      <c r="M11" s="20"/>
      <c r="N11" s="20"/>
      <c r="O11" s="20"/>
      <c r="P11" s="20"/>
      <c r="Q11" s="20"/>
      <c r="R11" s="20"/>
    </row>
    <row r="12" spans="1:28" s="19" customFormat="1" ht="14.4" thickBot="1" x14ac:dyDescent="0.35">
      <c r="A12" s="329" t="s">
        <v>19</v>
      </c>
      <c r="B12" s="329"/>
      <c r="C12" s="3">
        <f>+Calc!C12</f>
        <v>0</v>
      </c>
      <c r="D12" s="291"/>
      <c r="E12" s="292" t="s">
        <v>239</v>
      </c>
      <c r="F12" s="273"/>
      <c r="G12" s="285">
        <f>$G9+($C$2*0.0005082)</f>
        <v>60542</v>
      </c>
      <c r="H12" s="339"/>
      <c r="I12" s="340"/>
      <c r="J12" s="289" t="s">
        <v>41</v>
      </c>
      <c r="K12" s="34">
        <v>0.01</v>
      </c>
      <c r="L12" s="27">
        <f>$C$4+K12</f>
        <v>0.04</v>
      </c>
      <c r="M12" s="20"/>
      <c r="N12" s="20"/>
      <c r="O12" s="20"/>
      <c r="P12" s="20"/>
      <c r="Q12" s="20"/>
      <c r="R12" s="20"/>
    </row>
    <row r="13" spans="1:28" s="19" customFormat="1" x14ac:dyDescent="0.3">
      <c r="A13" s="323" t="s">
        <v>4</v>
      </c>
      <c r="B13" s="323"/>
      <c r="C13" s="6" t="s">
        <v>13</v>
      </c>
      <c r="D13" s="291"/>
      <c r="E13" s="292" t="s">
        <v>240</v>
      </c>
      <c r="F13" s="274"/>
      <c r="G13" s="276">
        <f>$G9+($C$2*0.0003738)</f>
        <v>59198</v>
      </c>
      <c r="H13" s="17"/>
      <c r="I13" s="17"/>
      <c r="J13" s="28" t="s">
        <v>40</v>
      </c>
      <c r="K13" s="34">
        <v>0.02</v>
      </c>
      <c r="L13" s="27">
        <f>$C$4+K13</f>
        <v>0.05</v>
      </c>
      <c r="M13" s="20"/>
      <c r="N13" s="20"/>
      <c r="O13" s="20"/>
      <c r="P13" s="20"/>
      <c r="Q13" s="20"/>
      <c r="R13" s="20"/>
    </row>
    <row r="14" spans="1:28" s="19" customFormat="1" x14ac:dyDescent="0.3">
      <c r="A14" s="323" t="s">
        <v>242</v>
      </c>
      <c r="B14" s="323"/>
      <c r="C14" s="280">
        <v>0.01</v>
      </c>
      <c r="D14" s="17"/>
      <c r="I14" s="17"/>
      <c r="J14" s="128" t="s">
        <v>92</v>
      </c>
      <c r="K14" s="129">
        <f>L14</f>
        <v>4.0863960770095353E-2</v>
      </c>
      <c r="L14" s="27">
        <f>((IRR(J25:J325,0.01)+1)^12)-1</f>
        <v>4.0863960770095353E-2</v>
      </c>
      <c r="M14" s="20"/>
      <c r="N14" s="20"/>
      <c r="O14" s="20"/>
      <c r="P14" s="20"/>
      <c r="Q14" s="20"/>
      <c r="R14" s="20"/>
    </row>
    <row r="15" spans="1:28" s="19" customFormat="1" x14ac:dyDescent="0.3">
      <c r="A15" s="323" t="s">
        <v>24</v>
      </c>
      <c r="B15" s="323"/>
      <c r="C15" s="267">
        <f>+Calc!C15</f>
        <v>0</v>
      </c>
      <c r="D15" s="17"/>
      <c r="I15" s="17"/>
      <c r="J15" s="128" t="s">
        <v>93</v>
      </c>
      <c r="K15" s="129">
        <f>L15</f>
        <v>5.1271530700922829E-2</v>
      </c>
      <c r="L15" s="27">
        <f>((IRR(K25:K325,0.01)+1)^12)-1</f>
        <v>5.1271530700922829E-2</v>
      </c>
      <c r="M15" s="20"/>
      <c r="N15" s="20"/>
      <c r="O15" s="20"/>
      <c r="P15" s="20"/>
      <c r="Q15" s="20"/>
      <c r="R15" s="20"/>
    </row>
    <row r="16" spans="1:28" s="19" customFormat="1" x14ac:dyDescent="0.3">
      <c r="A16" s="323" t="s">
        <v>23</v>
      </c>
      <c r="B16" s="323"/>
      <c r="C16" s="267">
        <f>+Calc!C16</f>
        <v>0</v>
      </c>
      <c r="D16" s="17"/>
      <c r="I16" s="17"/>
      <c r="J16" s="17"/>
      <c r="K16" s="17"/>
      <c r="L16" s="20"/>
      <c r="M16" s="20"/>
      <c r="N16" s="20"/>
      <c r="O16" s="20"/>
      <c r="P16" s="20"/>
      <c r="Q16" s="20"/>
      <c r="R16" s="20"/>
    </row>
    <row r="17" spans="1:256" s="19" customFormat="1" x14ac:dyDescent="0.3">
      <c r="A17" s="323" t="s">
        <v>84</v>
      </c>
      <c r="B17" s="323"/>
      <c r="C17" s="267">
        <f>+Calc!C17</f>
        <v>325</v>
      </c>
      <c r="D17" s="291"/>
      <c r="E17" s="17"/>
      <c r="F17" s="17"/>
      <c r="G17" s="17"/>
      <c r="I17" s="17"/>
      <c r="J17" s="17"/>
      <c r="K17" s="17"/>
      <c r="L17" s="20"/>
      <c r="M17" s="20"/>
      <c r="N17" s="20"/>
      <c r="O17" s="20"/>
      <c r="P17" s="20"/>
      <c r="Q17" s="20"/>
      <c r="R17" s="20"/>
    </row>
    <row r="18" spans="1:256" s="19" customFormat="1" x14ac:dyDescent="0.3">
      <c r="A18" s="323" t="s">
        <v>72</v>
      </c>
      <c r="B18" s="323"/>
      <c r="C18" s="267">
        <f>+Calc!C18</f>
        <v>12600</v>
      </c>
      <c r="D18" s="291"/>
      <c r="E18" s="17"/>
      <c r="F18" s="17"/>
      <c r="G18" s="17"/>
      <c r="H18" s="17"/>
      <c r="I18" s="17"/>
      <c r="J18" s="17"/>
      <c r="K18" s="17"/>
      <c r="L18" s="20"/>
      <c r="M18" s="20"/>
      <c r="N18" s="20"/>
      <c r="O18" s="20"/>
      <c r="P18" s="20"/>
      <c r="Q18" s="20"/>
      <c r="R18" s="20"/>
    </row>
    <row r="19" spans="1:256" s="19" customFormat="1" x14ac:dyDescent="0.3">
      <c r="A19" s="323" t="s">
        <v>245</v>
      </c>
      <c r="B19" s="323"/>
      <c r="C19" s="267">
        <f>+Calc!C19</f>
        <v>0</v>
      </c>
      <c r="D19" s="291"/>
      <c r="E19" s="17"/>
      <c r="F19" s="17"/>
      <c r="G19" s="17"/>
      <c r="H19" s="17"/>
      <c r="I19" s="17"/>
      <c r="J19" s="17"/>
      <c r="K19" s="17"/>
      <c r="L19" s="20"/>
      <c r="M19" s="20"/>
      <c r="N19" s="20"/>
      <c r="O19" s="20"/>
      <c r="P19" s="20"/>
      <c r="Q19" s="20"/>
      <c r="R19" s="20"/>
    </row>
    <row r="20" spans="1:256" s="19" customFormat="1" x14ac:dyDescent="0.3">
      <c r="A20" s="323" t="s">
        <v>246</v>
      </c>
      <c r="B20" s="323"/>
      <c r="C20" s="267">
        <f>+Calc!C20</f>
        <v>0</v>
      </c>
      <c r="D20" s="291"/>
      <c r="E20" s="17"/>
      <c r="F20" s="17"/>
      <c r="G20" s="17"/>
      <c r="H20" s="17"/>
      <c r="I20" s="17"/>
      <c r="J20" s="17"/>
      <c r="K20" s="17"/>
      <c r="L20" s="20"/>
      <c r="M20" s="20"/>
      <c r="N20" s="20"/>
      <c r="O20" s="20"/>
      <c r="P20" s="20"/>
      <c r="Q20" s="20"/>
      <c r="R20" s="20"/>
    </row>
    <row r="21" spans="1:256" x14ac:dyDescent="0.3">
      <c r="A21" s="323" t="s">
        <v>151</v>
      </c>
      <c r="B21" s="323"/>
      <c r="C21" s="271">
        <f>+C22+C2</f>
        <v>13400924</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c r="IR21" s="322"/>
      <c r="IS21" s="322"/>
      <c r="IT21" s="322"/>
      <c r="IU21" s="322"/>
      <c r="IV21" s="322"/>
    </row>
    <row r="22" spans="1:256" ht="15.6" x14ac:dyDescent="0.3">
      <c r="A22" s="323" t="s">
        <v>152</v>
      </c>
      <c r="B22" s="323"/>
      <c r="C22" s="271">
        <f>D326+C18+(C17*C3)+C16+C15+C12+C19+C20+G326</f>
        <v>3400924</v>
      </c>
      <c r="J22" s="327" t="s">
        <v>36</v>
      </c>
      <c r="K22" s="328"/>
      <c r="L22" s="7">
        <v>11</v>
      </c>
      <c r="M22" s="7">
        <v>12</v>
      </c>
      <c r="N22" s="7">
        <v>13</v>
      </c>
      <c r="O22" s="7">
        <v>14</v>
      </c>
      <c r="P22" s="7">
        <v>15</v>
      </c>
      <c r="Q22" s="7">
        <v>16</v>
      </c>
      <c r="R22" s="7">
        <v>17</v>
      </c>
      <c r="S22" s="17">
        <v>18</v>
      </c>
    </row>
    <row r="23" spans="1:256" ht="15.6" x14ac:dyDescent="0.3">
      <c r="J23" s="294"/>
      <c r="K23" s="294"/>
      <c r="L23" s="7"/>
      <c r="M23" s="7"/>
      <c r="N23" s="7"/>
      <c r="O23" s="7"/>
      <c r="P23" s="7"/>
      <c r="Q23" s="7"/>
      <c r="R23" s="7"/>
    </row>
    <row r="24" spans="1:256" ht="39" customHeight="1" x14ac:dyDescent="0.3">
      <c r="A24" s="8" t="s">
        <v>5</v>
      </c>
      <c r="B24" s="9" t="s">
        <v>6</v>
      </c>
      <c r="C24" s="8" t="s">
        <v>7</v>
      </c>
      <c r="D24" s="10" t="s">
        <v>28</v>
      </c>
      <c r="E24" s="295" t="s">
        <v>86</v>
      </c>
      <c r="F24" s="12" t="s">
        <v>244</v>
      </c>
      <c r="G24" s="10" t="s">
        <v>242</v>
      </c>
      <c r="H24" s="12" t="s">
        <v>243</v>
      </c>
      <c r="I24" s="13" t="s">
        <v>73</v>
      </c>
      <c r="J24" s="118" t="s">
        <v>38</v>
      </c>
      <c r="K24" s="118" t="s">
        <v>39</v>
      </c>
      <c r="L24" s="8" t="s">
        <v>7</v>
      </c>
      <c r="M24" s="10" t="s">
        <v>28</v>
      </c>
      <c r="N24" s="11" t="s">
        <v>27</v>
      </c>
      <c r="O24" s="8" t="s">
        <v>8</v>
      </c>
      <c r="P24" s="9" t="s">
        <v>1</v>
      </c>
      <c r="Q24" s="12" t="s">
        <v>9</v>
      </c>
      <c r="R24" s="12" t="s">
        <v>38</v>
      </c>
      <c r="S24" s="112" t="s">
        <v>39</v>
      </c>
    </row>
    <row r="25" spans="1:256" x14ac:dyDescent="0.3">
      <c r="A25" s="109">
        <v>0</v>
      </c>
      <c r="B25" s="58">
        <f>C2</f>
        <v>10000000</v>
      </c>
      <c r="C25" s="149"/>
      <c r="D25" s="7"/>
      <c r="E25" s="296"/>
      <c r="F25" s="149"/>
      <c r="G25" s="110"/>
      <c r="H25" s="123">
        <f>-B25+IF(C2*C9&lt;C10,C10,IF(OR(C11=0,C11="",C11=" "),C2*C9,IF(C2*C9&gt;C11,C11,C2*C9)))+C15+C16</f>
        <v>-10000000</v>
      </c>
      <c r="I25" s="123">
        <f>H25+C18+C16+C15+C12</f>
        <v>-9987400</v>
      </c>
      <c r="J25" s="121">
        <f>-C2+C15+C16+C18+C12</f>
        <v>-9987400</v>
      </c>
      <c r="K25" s="122">
        <f>-C2+C15+C16+C18+C12</f>
        <v>-9987400</v>
      </c>
      <c r="L25" s="110"/>
      <c r="M25" s="110"/>
      <c r="N25" s="110"/>
      <c r="O25" s="110"/>
      <c r="P25" s="110"/>
      <c r="Q25" s="110"/>
      <c r="R25" s="110"/>
    </row>
    <row r="26" spans="1:256" x14ac:dyDescent="0.3">
      <c r="A26" s="111">
        <v>1</v>
      </c>
      <c r="B26" s="58">
        <f>+B25-C26</f>
        <v>9969540</v>
      </c>
      <c r="C26" s="116">
        <f>+F26-D26</f>
        <v>30460</v>
      </c>
      <c r="D26" s="117">
        <f>ROUND(IF(A26&gt;$G$6,B25*$C$4*30/360,0),0)</f>
        <v>25000</v>
      </c>
      <c r="E26" s="297">
        <f>ROUND(IF(A26&gt;$G$6,B25*$C$5*30/360,0),0)</f>
        <v>39779</v>
      </c>
      <c r="F26" s="116">
        <f t="shared" ref="F26:F89" si="0">ROUND(IF(A26&gt;$G$6,(IF(A26&gt;=$C$3,B25+D26,PMT($C$4/12,$C$3-$G$6,-$B$25))),D26),0)</f>
        <v>55460</v>
      </c>
      <c r="G26" s="117">
        <f t="shared" ref="G26:G89" si="1">ROUND(IF(A26&gt;$G$6,0,$B$25*$C$14/360*30),0)</f>
        <v>0</v>
      </c>
      <c r="H26" s="116">
        <f>F26+G26</f>
        <v>55460</v>
      </c>
      <c r="I26" s="116">
        <f t="shared" ref="I26:I89" si="2">IF(A26&lt;=$C$3,H26+$C$17,0)</f>
        <v>55785</v>
      </c>
      <c r="J26" s="119">
        <f t="shared" ref="J26:J89" si="3">ROUND(IF(A26&gt;$G$6,(IF(A26&gt;=$C$3,B25+D26,PMT($L$12/12,$C$3-$G$6,-$B$25))),D26),0)</f>
        <v>60598</v>
      </c>
      <c r="K26" s="119">
        <f t="shared" ref="K26:K89" si="4">ROUND(IF(A26&gt;$G$6,(IF(A26&gt;=$C$3,B25+D26,PMT($L$13/12,$C$3-$G$6,-$B$25))),D26),0)</f>
        <v>65996</v>
      </c>
      <c r="L26" s="110"/>
      <c r="M26" s="110"/>
      <c r="N26" s="110"/>
      <c r="O26" s="110"/>
      <c r="P26" s="110"/>
      <c r="Q26" s="110"/>
      <c r="R26" s="110"/>
    </row>
    <row r="27" spans="1:256" x14ac:dyDescent="0.3">
      <c r="A27" s="109">
        <v>2</v>
      </c>
      <c r="B27" s="58">
        <f t="shared" ref="B27:B90" si="5">B26-C27</f>
        <v>9939004</v>
      </c>
      <c r="C27" s="116">
        <f t="shared" ref="C27:C90" si="6">+F27-D27</f>
        <v>30536</v>
      </c>
      <c r="D27" s="117">
        <f t="shared" ref="D27:D90" si="7">ROUND(IF(A27&gt;$G$6,B26*$C$4*30/360,0),0)</f>
        <v>24924</v>
      </c>
      <c r="E27" s="297">
        <f t="shared" ref="E27:E90" si="8">ROUND(IF(A27&gt;$C$3,0,$B$25*($C$5/12)),0)</f>
        <v>39779</v>
      </c>
      <c r="F27" s="116">
        <f t="shared" si="0"/>
        <v>55460</v>
      </c>
      <c r="G27" s="117">
        <f t="shared" si="1"/>
        <v>0</v>
      </c>
      <c r="H27" s="116">
        <f>F27+G27</f>
        <v>55460</v>
      </c>
      <c r="I27" s="116">
        <f t="shared" si="2"/>
        <v>55785</v>
      </c>
      <c r="J27" s="119">
        <f t="shared" si="3"/>
        <v>60598</v>
      </c>
      <c r="K27" s="119">
        <f t="shared" si="4"/>
        <v>65996</v>
      </c>
      <c r="L27" s="110"/>
      <c r="M27" s="110"/>
      <c r="N27" s="110"/>
      <c r="O27" s="110"/>
      <c r="P27" s="110"/>
      <c r="Q27" s="110"/>
      <c r="R27" s="110"/>
    </row>
    <row r="28" spans="1:256" x14ac:dyDescent="0.3">
      <c r="A28" s="109">
        <v>3</v>
      </c>
      <c r="B28" s="58">
        <f t="shared" si="5"/>
        <v>9908392</v>
      </c>
      <c r="C28" s="116">
        <f t="shared" si="6"/>
        <v>30612</v>
      </c>
      <c r="D28" s="117">
        <f t="shared" si="7"/>
        <v>24848</v>
      </c>
      <c r="E28" s="297">
        <f t="shared" si="8"/>
        <v>39779</v>
      </c>
      <c r="F28" s="116">
        <f t="shared" si="0"/>
        <v>55460</v>
      </c>
      <c r="G28" s="117">
        <f t="shared" si="1"/>
        <v>0</v>
      </c>
      <c r="H28" s="116">
        <f t="shared" ref="H28:H91" si="9">F28+G28</f>
        <v>55460</v>
      </c>
      <c r="I28" s="116">
        <f t="shared" si="2"/>
        <v>55785</v>
      </c>
      <c r="J28" s="119">
        <f t="shared" si="3"/>
        <v>60598</v>
      </c>
      <c r="K28" s="119">
        <f t="shared" si="4"/>
        <v>65996</v>
      </c>
      <c r="L28" s="110"/>
      <c r="M28" s="110"/>
      <c r="N28" s="110"/>
      <c r="O28" s="110"/>
      <c r="P28" s="110"/>
      <c r="Q28" s="110"/>
      <c r="R28" s="110"/>
    </row>
    <row r="29" spans="1:256" x14ac:dyDescent="0.3">
      <c r="A29" s="109">
        <v>4</v>
      </c>
      <c r="B29" s="58">
        <f t="shared" si="5"/>
        <v>9877703</v>
      </c>
      <c r="C29" s="116">
        <f t="shared" si="6"/>
        <v>30689</v>
      </c>
      <c r="D29" s="117">
        <f t="shared" si="7"/>
        <v>24771</v>
      </c>
      <c r="E29" s="297">
        <f t="shared" si="8"/>
        <v>39779</v>
      </c>
      <c r="F29" s="116">
        <f t="shared" si="0"/>
        <v>55460</v>
      </c>
      <c r="G29" s="117">
        <f t="shared" si="1"/>
        <v>0</v>
      </c>
      <c r="H29" s="116">
        <f t="shared" si="9"/>
        <v>55460</v>
      </c>
      <c r="I29" s="116">
        <f t="shared" si="2"/>
        <v>55785</v>
      </c>
      <c r="J29" s="119">
        <f t="shared" si="3"/>
        <v>60598</v>
      </c>
      <c r="K29" s="119">
        <f t="shared" si="4"/>
        <v>65996</v>
      </c>
      <c r="L29" s="110"/>
      <c r="M29" s="110"/>
      <c r="N29" s="110"/>
      <c r="O29" s="110"/>
      <c r="P29" s="110"/>
      <c r="Q29" s="110"/>
      <c r="R29" s="110"/>
    </row>
    <row r="30" spans="1:256" x14ac:dyDescent="0.3">
      <c r="A30" s="109">
        <v>5</v>
      </c>
      <c r="B30" s="58">
        <f t="shared" si="5"/>
        <v>9846937</v>
      </c>
      <c r="C30" s="116">
        <f t="shared" si="6"/>
        <v>30766</v>
      </c>
      <c r="D30" s="117">
        <f t="shared" si="7"/>
        <v>24694</v>
      </c>
      <c r="E30" s="297">
        <f t="shared" si="8"/>
        <v>39779</v>
      </c>
      <c r="F30" s="116">
        <f t="shared" si="0"/>
        <v>55460</v>
      </c>
      <c r="G30" s="117">
        <f t="shared" si="1"/>
        <v>0</v>
      </c>
      <c r="H30" s="116">
        <f t="shared" si="9"/>
        <v>55460</v>
      </c>
      <c r="I30" s="116">
        <f t="shared" si="2"/>
        <v>55785</v>
      </c>
      <c r="J30" s="119">
        <f t="shared" si="3"/>
        <v>60598</v>
      </c>
      <c r="K30" s="119">
        <f t="shared" si="4"/>
        <v>65996</v>
      </c>
      <c r="L30" s="110"/>
      <c r="M30" s="110"/>
      <c r="N30" s="110"/>
      <c r="O30" s="110"/>
      <c r="P30" s="110"/>
      <c r="Q30" s="110"/>
      <c r="R30" s="110"/>
    </row>
    <row r="31" spans="1:256" x14ac:dyDescent="0.3">
      <c r="A31" s="109">
        <v>6</v>
      </c>
      <c r="B31" s="58">
        <f t="shared" si="5"/>
        <v>9816094</v>
      </c>
      <c r="C31" s="116">
        <f t="shared" si="6"/>
        <v>30843</v>
      </c>
      <c r="D31" s="117">
        <f t="shared" si="7"/>
        <v>24617</v>
      </c>
      <c r="E31" s="297">
        <f t="shared" si="8"/>
        <v>39779</v>
      </c>
      <c r="F31" s="116">
        <f t="shared" si="0"/>
        <v>55460</v>
      </c>
      <c r="G31" s="117">
        <f t="shared" si="1"/>
        <v>0</v>
      </c>
      <c r="H31" s="116">
        <f t="shared" si="9"/>
        <v>55460</v>
      </c>
      <c r="I31" s="116">
        <f t="shared" si="2"/>
        <v>55785</v>
      </c>
      <c r="J31" s="119">
        <f t="shared" si="3"/>
        <v>60598</v>
      </c>
      <c r="K31" s="119">
        <f t="shared" si="4"/>
        <v>65996</v>
      </c>
      <c r="L31" s="110"/>
      <c r="M31" s="110"/>
      <c r="N31" s="110"/>
      <c r="O31" s="110"/>
      <c r="P31" s="110"/>
      <c r="Q31" s="110"/>
      <c r="R31" s="110"/>
    </row>
    <row r="32" spans="1:256" x14ac:dyDescent="0.3">
      <c r="A32" s="109">
        <v>7</v>
      </c>
      <c r="B32" s="58">
        <f t="shared" si="5"/>
        <v>9785174</v>
      </c>
      <c r="C32" s="116">
        <f t="shared" si="6"/>
        <v>30920</v>
      </c>
      <c r="D32" s="117">
        <f t="shared" si="7"/>
        <v>24540</v>
      </c>
      <c r="E32" s="297">
        <f t="shared" si="8"/>
        <v>39779</v>
      </c>
      <c r="F32" s="116">
        <f t="shared" si="0"/>
        <v>55460</v>
      </c>
      <c r="G32" s="117">
        <f t="shared" si="1"/>
        <v>0</v>
      </c>
      <c r="H32" s="116">
        <f t="shared" si="9"/>
        <v>55460</v>
      </c>
      <c r="I32" s="116">
        <f t="shared" si="2"/>
        <v>55785</v>
      </c>
      <c r="J32" s="119">
        <f t="shared" si="3"/>
        <v>60598</v>
      </c>
      <c r="K32" s="119">
        <f t="shared" si="4"/>
        <v>65996</v>
      </c>
      <c r="L32" s="110"/>
      <c r="M32" s="110"/>
      <c r="N32" s="110"/>
      <c r="O32" s="110"/>
      <c r="P32" s="110"/>
      <c r="Q32" s="110"/>
      <c r="R32" s="110"/>
    </row>
    <row r="33" spans="1:23" x14ac:dyDescent="0.3">
      <c r="A33" s="109">
        <v>8</v>
      </c>
      <c r="B33" s="58">
        <f t="shared" si="5"/>
        <v>9754177</v>
      </c>
      <c r="C33" s="116">
        <f t="shared" si="6"/>
        <v>30997</v>
      </c>
      <c r="D33" s="117">
        <f t="shared" si="7"/>
        <v>24463</v>
      </c>
      <c r="E33" s="297">
        <f t="shared" si="8"/>
        <v>39779</v>
      </c>
      <c r="F33" s="116">
        <f t="shared" si="0"/>
        <v>55460</v>
      </c>
      <c r="G33" s="117">
        <f t="shared" si="1"/>
        <v>0</v>
      </c>
      <c r="H33" s="116">
        <f t="shared" si="9"/>
        <v>55460</v>
      </c>
      <c r="I33" s="116">
        <f t="shared" si="2"/>
        <v>55785</v>
      </c>
      <c r="J33" s="119">
        <f t="shared" si="3"/>
        <v>60598</v>
      </c>
      <c r="K33" s="119">
        <f t="shared" si="4"/>
        <v>65996</v>
      </c>
      <c r="L33" s="110"/>
      <c r="M33" s="110"/>
      <c r="N33" s="110"/>
      <c r="O33" s="110"/>
      <c r="P33" s="110"/>
      <c r="Q33" s="110"/>
      <c r="R33" s="110"/>
    </row>
    <row r="34" spans="1:23" x14ac:dyDescent="0.3">
      <c r="A34" s="109">
        <v>9</v>
      </c>
      <c r="B34" s="58">
        <f t="shared" si="5"/>
        <v>9723102</v>
      </c>
      <c r="C34" s="116">
        <f t="shared" si="6"/>
        <v>31075</v>
      </c>
      <c r="D34" s="117">
        <f t="shared" si="7"/>
        <v>24385</v>
      </c>
      <c r="E34" s="297">
        <f t="shared" si="8"/>
        <v>39779</v>
      </c>
      <c r="F34" s="116">
        <f t="shared" si="0"/>
        <v>55460</v>
      </c>
      <c r="G34" s="117">
        <f t="shared" si="1"/>
        <v>0</v>
      </c>
      <c r="H34" s="116">
        <f t="shared" si="9"/>
        <v>55460</v>
      </c>
      <c r="I34" s="116">
        <f t="shared" si="2"/>
        <v>55785</v>
      </c>
      <c r="J34" s="119">
        <f t="shared" si="3"/>
        <v>60598</v>
      </c>
      <c r="K34" s="119">
        <f t="shared" si="4"/>
        <v>65996</v>
      </c>
      <c r="L34" s="110"/>
      <c r="M34" s="110"/>
      <c r="N34" s="110"/>
      <c r="O34" s="110"/>
      <c r="P34" s="110"/>
      <c r="Q34" s="110"/>
      <c r="R34" s="110"/>
    </row>
    <row r="35" spans="1:23" x14ac:dyDescent="0.3">
      <c r="A35" s="109">
        <v>10</v>
      </c>
      <c r="B35" s="58">
        <f t="shared" si="5"/>
        <v>9691950</v>
      </c>
      <c r="C35" s="116">
        <f t="shared" si="6"/>
        <v>31152</v>
      </c>
      <c r="D35" s="117">
        <f t="shared" si="7"/>
        <v>24308</v>
      </c>
      <c r="E35" s="297">
        <f t="shared" si="8"/>
        <v>39779</v>
      </c>
      <c r="F35" s="116">
        <f t="shared" si="0"/>
        <v>55460</v>
      </c>
      <c r="G35" s="117">
        <f t="shared" si="1"/>
        <v>0</v>
      </c>
      <c r="H35" s="116">
        <f t="shared" si="9"/>
        <v>55460</v>
      </c>
      <c r="I35" s="116">
        <f t="shared" si="2"/>
        <v>55785</v>
      </c>
      <c r="J35" s="119">
        <f t="shared" si="3"/>
        <v>60598</v>
      </c>
      <c r="K35" s="119">
        <f t="shared" si="4"/>
        <v>65996</v>
      </c>
      <c r="L35" s="110"/>
      <c r="M35" s="110"/>
      <c r="N35" s="110"/>
      <c r="O35" s="110"/>
      <c r="P35" s="110"/>
      <c r="Q35" s="110"/>
      <c r="R35" s="110"/>
    </row>
    <row r="36" spans="1:23" x14ac:dyDescent="0.3">
      <c r="A36" s="109">
        <v>11</v>
      </c>
      <c r="B36" s="58">
        <f t="shared" si="5"/>
        <v>9660720</v>
      </c>
      <c r="C36" s="116">
        <f t="shared" si="6"/>
        <v>31230</v>
      </c>
      <c r="D36" s="117">
        <f t="shared" si="7"/>
        <v>24230</v>
      </c>
      <c r="E36" s="297">
        <f t="shared" si="8"/>
        <v>39779</v>
      </c>
      <c r="F36" s="116">
        <f t="shared" si="0"/>
        <v>55460</v>
      </c>
      <c r="G36" s="117">
        <f t="shared" si="1"/>
        <v>0</v>
      </c>
      <c r="H36" s="116">
        <f t="shared" si="9"/>
        <v>55460</v>
      </c>
      <c r="I36" s="116">
        <f t="shared" si="2"/>
        <v>55785</v>
      </c>
      <c r="J36" s="119">
        <f t="shared" si="3"/>
        <v>60598</v>
      </c>
      <c r="K36" s="119">
        <f t="shared" si="4"/>
        <v>65996</v>
      </c>
      <c r="L36" s="110"/>
      <c r="M36" s="110"/>
      <c r="N36" s="110"/>
      <c r="O36" s="110"/>
      <c r="P36" s="110"/>
      <c r="Q36" s="110"/>
      <c r="R36" s="110"/>
    </row>
    <row r="37" spans="1:23" x14ac:dyDescent="0.3">
      <c r="A37" s="109">
        <v>12</v>
      </c>
      <c r="B37" s="58">
        <f t="shared" si="5"/>
        <v>9629412</v>
      </c>
      <c r="C37" s="116">
        <f t="shared" si="6"/>
        <v>31308</v>
      </c>
      <c r="D37" s="117">
        <f t="shared" si="7"/>
        <v>24152</v>
      </c>
      <c r="E37" s="297">
        <f t="shared" si="8"/>
        <v>39779</v>
      </c>
      <c r="F37" s="116">
        <f t="shared" si="0"/>
        <v>55460</v>
      </c>
      <c r="G37" s="117">
        <f t="shared" si="1"/>
        <v>0</v>
      </c>
      <c r="H37" s="116">
        <f t="shared" si="9"/>
        <v>55460</v>
      </c>
      <c r="I37" s="116">
        <f t="shared" si="2"/>
        <v>55785</v>
      </c>
      <c r="J37" s="119">
        <f t="shared" si="3"/>
        <v>60598</v>
      </c>
      <c r="K37" s="119">
        <f t="shared" si="4"/>
        <v>65996</v>
      </c>
      <c r="L37" s="58">
        <f t="shared" ref="L37:Q37" si="10">SUM(C26:C37)</f>
        <v>370588</v>
      </c>
      <c r="M37" s="58">
        <f t="shared" si="10"/>
        <v>294932</v>
      </c>
      <c r="N37" s="58">
        <f t="shared" si="10"/>
        <v>477348</v>
      </c>
      <c r="O37" s="58">
        <f t="shared" si="10"/>
        <v>665520</v>
      </c>
      <c r="P37" s="58">
        <f t="shared" si="10"/>
        <v>0</v>
      </c>
      <c r="Q37" s="58">
        <f t="shared" si="10"/>
        <v>665520</v>
      </c>
      <c r="R37" s="58">
        <f>SUM(J26:J37)</f>
        <v>727176</v>
      </c>
      <c r="S37" s="29">
        <f>SUM(K26:K37)</f>
        <v>791952</v>
      </c>
      <c r="T37" s="29"/>
      <c r="U37" s="29"/>
      <c r="V37" s="29"/>
      <c r="W37" s="29"/>
    </row>
    <row r="38" spans="1:23" x14ac:dyDescent="0.3">
      <c r="A38" s="109">
        <v>13</v>
      </c>
      <c r="B38" s="58">
        <f t="shared" si="5"/>
        <v>9598026</v>
      </c>
      <c r="C38" s="116">
        <f t="shared" si="6"/>
        <v>31386</v>
      </c>
      <c r="D38" s="117">
        <f t="shared" si="7"/>
        <v>24074</v>
      </c>
      <c r="E38" s="297">
        <f t="shared" si="8"/>
        <v>39779</v>
      </c>
      <c r="F38" s="116">
        <f t="shared" si="0"/>
        <v>55460</v>
      </c>
      <c r="G38" s="117">
        <f t="shared" si="1"/>
        <v>0</v>
      </c>
      <c r="H38" s="116">
        <f t="shared" si="9"/>
        <v>55460</v>
      </c>
      <c r="I38" s="116">
        <f t="shared" si="2"/>
        <v>55785</v>
      </c>
      <c r="J38" s="119">
        <f t="shared" si="3"/>
        <v>60598</v>
      </c>
      <c r="K38" s="119">
        <f t="shared" si="4"/>
        <v>65996</v>
      </c>
      <c r="L38" s="110"/>
      <c r="M38" s="110"/>
      <c r="N38" s="110"/>
      <c r="O38" s="110"/>
      <c r="P38" s="110"/>
      <c r="Q38" s="110"/>
      <c r="R38" s="110"/>
    </row>
    <row r="39" spans="1:23" x14ac:dyDescent="0.3">
      <c r="A39" s="109">
        <v>14</v>
      </c>
      <c r="B39" s="58">
        <f t="shared" si="5"/>
        <v>9566561</v>
      </c>
      <c r="C39" s="116">
        <f t="shared" si="6"/>
        <v>31465</v>
      </c>
      <c r="D39" s="117">
        <f t="shared" si="7"/>
        <v>23995</v>
      </c>
      <c r="E39" s="297">
        <f t="shared" si="8"/>
        <v>39779</v>
      </c>
      <c r="F39" s="116">
        <f t="shared" si="0"/>
        <v>55460</v>
      </c>
      <c r="G39" s="117">
        <f t="shared" si="1"/>
        <v>0</v>
      </c>
      <c r="H39" s="116">
        <f t="shared" si="9"/>
        <v>55460</v>
      </c>
      <c r="I39" s="116">
        <f t="shared" si="2"/>
        <v>55785</v>
      </c>
      <c r="J39" s="119">
        <f t="shared" si="3"/>
        <v>60598</v>
      </c>
      <c r="K39" s="119">
        <f t="shared" si="4"/>
        <v>65996</v>
      </c>
      <c r="L39" s="110"/>
      <c r="M39" s="110"/>
      <c r="N39" s="110"/>
      <c r="O39" s="110"/>
      <c r="P39" s="110"/>
      <c r="Q39" s="110"/>
      <c r="R39" s="110"/>
    </row>
    <row r="40" spans="1:23" x14ac:dyDescent="0.3">
      <c r="A40" s="109">
        <v>15</v>
      </c>
      <c r="B40" s="58">
        <f t="shared" si="5"/>
        <v>9535017</v>
      </c>
      <c r="C40" s="116">
        <f t="shared" si="6"/>
        <v>31544</v>
      </c>
      <c r="D40" s="117">
        <f t="shared" si="7"/>
        <v>23916</v>
      </c>
      <c r="E40" s="297">
        <f t="shared" si="8"/>
        <v>39779</v>
      </c>
      <c r="F40" s="116">
        <f t="shared" si="0"/>
        <v>55460</v>
      </c>
      <c r="G40" s="117">
        <f t="shared" si="1"/>
        <v>0</v>
      </c>
      <c r="H40" s="116">
        <f t="shared" si="9"/>
        <v>55460</v>
      </c>
      <c r="I40" s="116">
        <f t="shared" si="2"/>
        <v>55785</v>
      </c>
      <c r="J40" s="119">
        <f t="shared" si="3"/>
        <v>60598</v>
      </c>
      <c r="K40" s="119">
        <f t="shared" si="4"/>
        <v>65996</v>
      </c>
      <c r="L40" s="110"/>
      <c r="M40" s="110"/>
      <c r="N40" s="110"/>
      <c r="O40" s="110"/>
      <c r="P40" s="110"/>
      <c r="Q40" s="110"/>
      <c r="R40" s="110"/>
    </row>
    <row r="41" spans="1:23" x14ac:dyDescent="0.3">
      <c r="A41" s="109">
        <v>16</v>
      </c>
      <c r="B41" s="58">
        <f t="shared" si="5"/>
        <v>9503395</v>
      </c>
      <c r="C41" s="116">
        <f t="shared" si="6"/>
        <v>31622</v>
      </c>
      <c r="D41" s="117">
        <f t="shared" si="7"/>
        <v>23838</v>
      </c>
      <c r="E41" s="297">
        <f t="shared" si="8"/>
        <v>39779</v>
      </c>
      <c r="F41" s="116">
        <f t="shared" si="0"/>
        <v>55460</v>
      </c>
      <c r="G41" s="117">
        <f t="shared" si="1"/>
        <v>0</v>
      </c>
      <c r="H41" s="116">
        <f t="shared" si="9"/>
        <v>55460</v>
      </c>
      <c r="I41" s="116">
        <f t="shared" si="2"/>
        <v>55785</v>
      </c>
      <c r="J41" s="119">
        <f t="shared" si="3"/>
        <v>60598</v>
      </c>
      <c r="K41" s="119">
        <f t="shared" si="4"/>
        <v>65996</v>
      </c>
      <c r="L41" s="110"/>
      <c r="M41" s="110"/>
      <c r="N41" s="110"/>
      <c r="O41" s="110"/>
      <c r="P41" s="110"/>
      <c r="Q41" s="110"/>
      <c r="R41" s="110"/>
    </row>
    <row r="42" spans="1:23" x14ac:dyDescent="0.3">
      <c r="A42" s="109">
        <v>17</v>
      </c>
      <c r="B42" s="58">
        <f t="shared" si="5"/>
        <v>9471693</v>
      </c>
      <c r="C42" s="116">
        <f t="shared" si="6"/>
        <v>31702</v>
      </c>
      <c r="D42" s="117">
        <f t="shared" si="7"/>
        <v>23758</v>
      </c>
      <c r="E42" s="297">
        <f t="shared" si="8"/>
        <v>39779</v>
      </c>
      <c r="F42" s="116">
        <f t="shared" si="0"/>
        <v>55460</v>
      </c>
      <c r="G42" s="117">
        <f t="shared" si="1"/>
        <v>0</v>
      </c>
      <c r="H42" s="116">
        <f t="shared" si="9"/>
        <v>55460</v>
      </c>
      <c r="I42" s="116">
        <f t="shared" si="2"/>
        <v>55785</v>
      </c>
      <c r="J42" s="119">
        <f t="shared" si="3"/>
        <v>60598</v>
      </c>
      <c r="K42" s="119">
        <f t="shared" si="4"/>
        <v>65996</v>
      </c>
      <c r="L42" s="110"/>
      <c r="M42" s="110"/>
      <c r="N42" s="110"/>
      <c r="O42" s="110"/>
      <c r="P42" s="110"/>
      <c r="Q42" s="110"/>
      <c r="R42" s="110"/>
    </row>
    <row r="43" spans="1:23" x14ac:dyDescent="0.3">
      <c r="A43" s="109">
        <v>18</v>
      </c>
      <c r="B43" s="58">
        <f t="shared" si="5"/>
        <v>9439912</v>
      </c>
      <c r="C43" s="116">
        <f t="shared" si="6"/>
        <v>31781</v>
      </c>
      <c r="D43" s="117">
        <f t="shared" si="7"/>
        <v>23679</v>
      </c>
      <c r="E43" s="297">
        <f t="shared" si="8"/>
        <v>39779</v>
      </c>
      <c r="F43" s="116">
        <f t="shared" si="0"/>
        <v>55460</v>
      </c>
      <c r="G43" s="117">
        <f t="shared" si="1"/>
        <v>0</v>
      </c>
      <c r="H43" s="116">
        <f t="shared" si="9"/>
        <v>55460</v>
      </c>
      <c r="I43" s="116">
        <f t="shared" si="2"/>
        <v>55785</v>
      </c>
      <c r="J43" s="119">
        <f t="shared" si="3"/>
        <v>60598</v>
      </c>
      <c r="K43" s="119">
        <f t="shared" si="4"/>
        <v>65996</v>
      </c>
      <c r="L43" s="110"/>
      <c r="M43" s="110"/>
      <c r="N43" s="110"/>
      <c r="O43" s="110"/>
      <c r="P43" s="110"/>
      <c r="Q43" s="110"/>
      <c r="R43" s="110"/>
    </row>
    <row r="44" spans="1:23" x14ac:dyDescent="0.3">
      <c r="A44" s="109">
        <v>19</v>
      </c>
      <c r="B44" s="58">
        <f t="shared" si="5"/>
        <v>9408052</v>
      </c>
      <c r="C44" s="116">
        <f t="shared" si="6"/>
        <v>31860</v>
      </c>
      <c r="D44" s="117">
        <f t="shared" si="7"/>
        <v>23600</v>
      </c>
      <c r="E44" s="297">
        <f t="shared" si="8"/>
        <v>39779</v>
      </c>
      <c r="F44" s="116">
        <f t="shared" si="0"/>
        <v>55460</v>
      </c>
      <c r="G44" s="117">
        <f t="shared" si="1"/>
        <v>0</v>
      </c>
      <c r="H44" s="116">
        <f t="shared" si="9"/>
        <v>55460</v>
      </c>
      <c r="I44" s="116">
        <f t="shared" si="2"/>
        <v>55785</v>
      </c>
      <c r="J44" s="119">
        <f t="shared" si="3"/>
        <v>60598</v>
      </c>
      <c r="K44" s="119">
        <f t="shared" si="4"/>
        <v>65996</v>
      </c>
      <c r="L44" s="110"/>
      <c r="M44" s="110"/>
      <c r="N44" s="110"/>
      <c r="O44" s="110"/>
      <c r="P44" s="110"/>
      <c r="Q44" s="110"/>
      <c r="R44" s="110"/>
    </row>
    <row r="45" spans="1:23" x14ac:dyDescent="0.3">
      <c r="A45" s="109">
        <v>20</v>
      </c>
      <c r="B45" s="58">
        <f t="shared" si="5"/>
        <v>9376112</v>
      </c>
      <c r="C45" s="116">
        <f t="shared" si="6"/>
        <v>31940</v>
      </c>
      <c r="D45" s="117">
        <f t="shared" si="7"/>
        <v>23520</v>
      </c>
      <c r="E45" s="297">
        <f t="shared" si="8"/>
        <v>39779</v>
      </c>
      <c r="F45" s="116">
        <f t="shared" si="0"/>
        <v>55460</v>
      </c>
      <c r="G45" s="117">
        <f t="shared" si="1"/>
        <v>0</v>
      </c>
      <c r="H45" s="116">
        <f t="shared" si="9"/>
        <v>55460</v>
      </c>
      <c r="I45" s="116">
        <f t="shared" si="2"/>
        <v>55785</v>
      </c>
      <c r="J45" s="119">
        <f t="shared" si="3"/>
        <v>60598</v>
      </c>
      <c r="K45" s="119">
        <f t="shared" si="4"/>
        <v>65996</v>
      </c>
      <c r="L45" s="110"/>
      <c r="M45" s="110"/>
      <c r="N45" s="110"/>
      <c r="O45" s="110"/>
      <c r="P45" s="110"/>
      <c r="Q45" s="110"/>
      <c r="R45" s="110"/>
    </row>
    <row r="46" spans="1:23" x14ac:dyDescent="0.3">
      <c r="A46" s="109">
        <v>21</v>
      </c>
      <c r="B46" s="58">
        <f t="shared" si="5"/>
        <v>9344092</v>
      </c>
      <c r="C46" s="116">
        <f t="shared" si="6"/>
        <v>32020</v>
      </c>
      <c r="D46" s="117">
        <f t="shared" si="7"/>
        <v>23440</v>
      </c>
      <c r="E46" s="297">
        <f t="shared" si="8"/>
        <v>39779</v>
      </c>
      <c r="F46" s="116">
        <f t="shared" si="0"/>
        <v>55460</v>
      </c>
      <c r="G46" s="117">
        <f t="shared" si="1"/>
        <v>0</v>
      </c>
      <c r="H46" s="116">
        <f t="shared" si="9"/>
        <v>55460</v>
      </c>
      <c r="I46" s="116">
        <f t="shared" si="2"/>
        <v>55785</v>
      </c>
      <c r="J46" s="119">
        <f t="shared" si="3"/>
        <v>60598</v>
      </c>
      <c r="K46" s="119">
        <f t="shared" si="4"/>
        <v>65996</v>
      </c>
      <c r="L46" s="110"/>
      <c r="M46" s="110"/>
      <c r="N46" s="110"/>
      <c r="O46" s="110"/>
      <c r="P46" s="110"/>
      <c r="Q46" s="110"/>
      <c r="R46" s="110"/>
    </row>
    <row r="47" spans="1:23" x14ac:dyDescent="0.3">
      <c r="A47" s="109">
        <v>22</v>
      </c>
      <c r="B47" s="58">
        <f t="shared" si="5"/>
        <v>9311992</v>
      </c>
      <c r="C47" s="116">
        <f t="shared" si="6"/>
        <v>32100</v>
      </c>
      <c r="D47" s="117">
        <f t="shared" si="7"/>
        <v>23360</v>
      </c>
      <c r="E47" s="297">
        <f t="shared" si="8"/>
        <v>39779</v>
      </c>
      <c r="F47" s="116">
        <f t="shared" si="0"/>
        <v>55460</v>
      </c>
      <c r="G47" s="117">
        <f t="shared" si="1"/>
        <v>0</v>
      </c>
      <c r="H47" s="116">
        <f t="shared" si="9"/>
        <v>55460</v>
      </c>
      <c r="I47" s="116">
        <f t="shared" si="2"/>
        <v>55785</v>
      </c>
      <c r="J47" s="119">
        <f t="shared" si="3"/>
        <v>60598</v>
      </c>
      <c r="K47" s="119">
        <f t="shared" si="4"/>
        <v>65996</v>
      </c>
      <c r="L47" s="110"/>
      <c r="M47" s="110"/>
      <c r="N47" s="110"/>
      <c r="O47" s="110"/>
      <c r="P47" s="110"/>
      <c r="Q47" s="110"/>
      <c r="R47" s="110"/>
    </row>
    <row r="48" spans="1:23" x14ac:dyDescent="0.3">
      <c r="A48" s="109">
        <v>23</v>
      </c>
      <c r="B48" s="58">
        <f t="shared" si="5"/>
        <v>9279812</v>
      </c>
      <c r="C48" s="116">
        <f t="shared" si="6"/>
        <v>32180</v>
      </c>
      <c r="D48" s="117">
        <f t="shared" si="7"/>
        <v>23280</v>
      </c>
      <c r="E48" s="297">
        <f t="shared" si="8"/>
        <v>39779</v>
      </c>
      <c r="F48" s="116">
        <f t="shared" si="0"/>
        <v>55460</v>
      </c>
      <c r="G48" s="117">
        <f t="shared" si="1"/>
        <v>0</v>
      </c>
      <c r="H48" s="116">
        <f t="shared" si="9"/>
        <v>55460</v>
      </c>
      <c r="I48" s="116">
        <f t="shared" si="2"/>
        <v>55785</v>
      </c>
      <c r="J48" s="119">
        <f t="shared" si="3"/>
        <v>60598</v>
      </c>
      <c r="K48" s="119">
        <f t="shared" si="4"/>
        <v>65996</v>
      </c>
      <c r="L48" s="110"/>
      <c r="M48" s="110"/>
      <c r="N48" s="110"/>
      <c r="O48" s="110"/>
      <c r="P48" s="110"/>
      <c r="Q48" s="110"/>
      <c r="R48" s="110"/>
    </row>
    <row r="49" spans="1:23" x14ac:dyDescent="0.3">
      <c r="A49" s="109">
        <v>24</v>
      </c>
      <c r="B49" s="58">
        <f t="shared" si="5"/>
        <v>9247552</v>
      </c>
      <c r="C49" s="116">
        <f t="shared" si="6"/>
        <v>32260</v>
      </c>
      <c r="D49" s="117">
        <f t="shared" si="7"/>
        <v>23200</v>
      </c>
      <c r="E49" s="297">
        <f t="shared" si="8"/>
        <v>39779</v>
      </c>
      <c r="F49" s="116">
        <f t="shared" si="0"/>
        <v>55460</v>
      </c>
      <c r="G49" s="117">
        <f t="shared" si="1"/>
        <v>0</v>
      </c>
      <c r="H49" s="116">
        <f t="shared" si="9"/>
        <v>55460</v>
      </c>
      <c r="I49" s="116">
        <f t="shared" si="2"/>
        <v>55785</v>
      </c>
      <c r="J49" s="119">
        <f t="shared" si="3"/>
        <v>60598</v>
      </c>
      <c r="K49" s="119">
        <f t="shared" si="4"/>
        <v>65996</v>
      </c>
      <c r="L49" s="58">
        <f t="shared" ref="L49:Q49" si="11">SUM(C38:C49)</f>
        <v>381860</v>
      </c>
      <c r="M49" s="58">
        <f t="shared" si="11"/>
        <v>283660</v>
      </c>
      <c r="N49" s="58">
        <f t="shared" si="11"/>
        <v>477348</v>
      </c>
      <c r="O49" s="58">
        <f t="shared" si="11"/>
        <v>665520</v>
      </c>
      <c r="P49" s="58">
        <f t="shared" si="11"/>
        <v>0</v>
      </c>
      <c r="Q49" s="58">
        <f t="shared" si="11"/>
        <v>665520</v>
      </c>
      <c r="R49" s="58">
        <f>SUM(J38:J49)</f>
        <v>727176</v>
      </c>
      <c r="S49" s="29">
        <f>SUM(K38:K49)</f>
        <v>791952</v>
      </c>
      <c r="T49" s="29"/>
      <c r="U49" s="29"/>
      <c r="V49" s="29"/>
      <c r="W49" s="29"/>
    </row>
    <row r="50" spans="1:23" x14ac:dyDescent="0.3">
      <c r="A50" s="109">
        <v>25</v>
      </c>
      <c r="B50" s="58">
        <f t="shared" si="5"/>
        <v>9215211</v>
      </c>
      <c r="C50" s="116">
        <f t="shared" si="6"/>
        <v>32341</v>
      </c>
      <c r="D50" s="117">
        <f t="shared" si="7"/>
        <v>23119</v>
      </c>
      <c r="E50" s="297">
        <f t="shared" si="8"/>
        <v>39779</v>
      </c>
      <c r="F50" s="116">
        <f t="shared" si="0"/>
        <v>55460</v>
      </c>
      <c r="G50" s="117">
        <f t="shared" si="1"/>
        <v>0</v>
      </c>
      <c r="H50" s="116">
        <f t="shared" si="9"/>
        <v>55460</v>
      </c>
      <c r="I50" s="116">
        <f t="shared" si="2"/>
        <v>55785</v>
      </c>
      <c r="J50" s="119">
        <f t="shared" si="3"/>
        <v>60598</v>
      </c>
      <c r="K50" s="119">
        <f t="shared" si="4"/>
        <v>65996</v>
      </c>
      <c r="L50" s="110"/>
      <c r="M50" s="110"/>
      <c r="N50" s="110"/>
      <c r="O50" s="110"/>
      <c r="P50" s="110"/>
      <c r="Q50" s="110"/>
      <c r="R50" s="110"/>
    </row>
    <row r="51" spans="1:23" x14ac:dyDescent="0.3">
      <c r="A51" s="109">
        <v>26</v>
      </c>
      <c r="B51" s="58">
        <f t="shared" si="5"/>
        <v>9182789</v>
      </c>
      <c r="C51" s="116">
        <f t="shared" si="6"/>
        <v>32422</v>
      </c>
      <c r="D51" s="117">
        <f t="shared" si="7"/>
        <v>23038</v>
      </c>
      <c r="E51" s="297">
        <f t="shared" si="8"/>
        <v>39779</v>
      </c>
      <c r="F51" s="116">
        <f t="shared" si="0"/>
        <v>55460</v>
      </c>
      <c r="G51" s="117">
        <f t="shared" si="1"/>
        <v>0</v>
      </c>
      <c r="H51" s="116">
        <f t="shared" si="9"/>
        <v>55460</v>
      </c>
      <c r="I51" s="116">
        <f t="shared" si="2"/>
        <v>55785</v>
      </c>
      <c r="J51" s="119">
        <f t="shared" si="3"/>
        <v>60598</v>
      </c>
      <c r="K51" s="119">
        <f t="shared" si="4"/>
        <v>65996</v>
      </c>
      <c r="L51" s="110"/>
      <c r="M51" s="110"/>
      <c r="N51" s="110"/>
      <c r="O51" s="110"/>
      <c r="P51" s="110"/>
      <c r="Q51" s="110"/>
      <c r="R51" s="110"/>
    </row>
    <row r="52" spans="1:23" x14ac:dyDescent="0.3">
      <c r="A52" s="109">
        <v>27</v>
      </c>
      <c r="B52" s="58">
        <f t="shared" si="5"/>
        <v>9150286</v>
      </c>
      <c r="C52" s="116">
        <f t="shared" si="6"/>
        <v>32503</v>
      </c>
      <c r="D52" s="117">
        <f t="shared" si="7"/>
        <v>22957</v>
      </c>
      <c r="E52" s="297">
        <f t="shared" si="8"/>
        <v>39779</v>
      </c>
      <c r="F52" s="116">
        <f t="shared" si="0"/>
        <v>55460</v>
      </c>
      <c r="G52" s="117">
        <f t="shared" si="1"/>
        <v>0</v>
      </c>
      <c r="H52" s="116">
        <f t="shared" si="9"/>
        <v>55460</v>
      </c>
      <c r="I52" s="116">
        <f t="shared" si="2"/>
        <v>55785</v>
      </c>
      <c r="J52" s="119">
        <f t="shared" si="3"/>
        <v>60598</v>
      </c>
      <c r="K52" s="119">
        <f t="shared" si="4"/>
        <v>65996</v>
      </c>
      <c r="L52" s="110"/>
      <c r="M52" s="110"/>
      <c r="N52" s="110"/>
      <c r="O52" s="110"/>
      <c r="P52" s="110"/>
      <c r="Q52" s="110"/>
      <c r="R52" s="110"/>
    </row>
    <row r="53" spans="1:23" x14ac:dyDescent="0.3">
      <c r="A53" s="109">
        <v>28</v>
      </c>
      <c r="B53" s="58">
        <f t="shared" si="5"/>
        <v>9117702</v>
      </c>
      <c r="C53" s="116">
        <f t="shared" si="6"/>
        <v>32584</v>
      </c>
      <c r="D53" s="117">
        <f t="shared" si="7"/>
        <v>22876</v>
      </c>
      <c r="E53" s="297">
        <f t="shared" si="8"/>
        <v>39779</v>
      </c>
      <c r="F53" s="116">
        <f t="shared" si="0"/>
        <v>55460</v>
      </c>
      <c r="G53" s="117">
        <f t="shared" si="1"/>
        <v>0</v>
      </c>
      <c r="H53" s="116">
        <f t="shared" si="9"/>
        <v>55460</v>
      </c>
      <c r="I53" s="116">
        <f t="shared" si="2"/>
        <v>55785</v>
      </c>
      <c r="J53" s="119">
        <f t="shared" si="3"/>
        <v>60598</v>
      </c>
      <c r="K53" s="119">
        <f t="shared" si="4"/>
        <v>65996</v>
      </c>
      <c r="L53" s="110"/>
      <c r="M53" s="110"/>
      <c r="N53" s="110"/>
      <c r="O53" s="110"/>
      <c r="P53" s="110"/>
      <c r="Q53" s="110"/>
      <c r="R53" s="110"/>
    </row>
    <row r="54" spans="1:23" x14ac:dyDescent="0.3">
      <c r="A54" s="109">
        <v>29</v>
      </c>
      <c r="B54" s="58">
        <f t="shared" si="5"/>
        <v>9085036</v>
      </c>
      <c r="C54" s="116">
        <f t="shared" si="6"/>
        <v>32666</v>
      </c>
      <c r="D54" s="117">
        <f t="shared" si="7"/>
        <v>22794</v>
      </c>
      <c r="E54" s="297">
        <f t="shared" si="8"/>
        <v>39779</v>
      </c>
      <c r="F54" s="116">
        <f t="shared" si="0"/>
        <v>55460</v>
      </c>
      <c r="G54" s="117">
        <f t="shared" si="1"/>
        <v>0</v>
      </c>
      <c r="H54" s="116">
        <f t="shared" si="9"/>
        <v>55460</v>
      </c>
      <c r="I54" s="116">
        <f t="shared" si="2"/>
        <v>55785</v>
      </c>
      <c r="J54" s="119">
        <f t="shared" si="3"/>
        <v>60598</v>
      </c>
      <c r="K54" s="119">
        <f t="shared" si="4"/>
        <v>65996</v>
      </c>
      <c r="L54" s="110"/>
      <c r="M54" s="110"/>
      <c r="N54" s="110"/>
      <c r="O54" s="110"/>
      <c r="P54" s="110"/>
      <c r="Q54" s="110"/>
      <c r="R54" s="110"/>
    </row>
    <row r="55" spans="1:23" x14ac:dyDescent="0.3">
      <c r="A55" s="109">
        <v>30</v>
      </c>
      <c r="B55" s="58">
        <f t="shared" si="5"/>
        <v>9052289</v>
      </c>
      <c r="C55" s="116">
        <f t="shared" si="6"/>
        <v>32747</v>
      </c>
      <c r="D55" s="117">
        <f t="shared" si="7"/>
        <v>22713</v>
      </c>
      <c r="E55" s="297">
        <f t="shared" si="8"/>
        <v>39779</v>
      </c>
      <c r="F55" s="116">
        <f t="shared" si="0"/>
        <v>55460</v>
      </c>
      <c r="G55" s="117">
        <f t="shared" si="1"/>
        <v>0</v>
      </c>
      <c r="H55" s="116">
        <f t="shared" si="9"/>
        <v>55460</v>
      </c>
      <c r="I55" s="116">
        <f t="shared" si="2"/>
        <v>55785</v>
      </c>
      <c r="J55" s="119">
        <f t="shared" si="3"/>
        <v>60598</v>
      </c>
      <c r="K55" s="119">
        <f t="shared" si="4"/>
        <v>65996</v>
      </c>
      <c r="L55" s="110"/>
      <c r="M55" s="110"/>
      <c r="N55" s="110"/>
      <c r="O55" s="110"/>
      <c r="P55" s="110"/>
      <c r="Q55" s="110"/>
      <c r="R55" s="110"/>
    </row>
    <row r="56" spans="1:23" x14ac:dyDescent="0.3">
      <c r="A56" s="109">
        <v>31</v>
      </c>
      <c r="B56" s="58">
        <f t="shared" si="5"/>
        <v>9019460</v>
      </c>
      <c r="C56" s="116">
        <f t="shared" si="6"/>
        <v>32829</v>
      </c>
      <c r="D56" s="117">
        <f t="shared" si="7"/>
        <v>22631</v>
      </c>
      <c r="E56" s="297">
        <f t="shared" si="8"/>
        <v>39779</v>
      </c>
      <c r="F56" s="116">
        <f t="shared" si="0"/>
        <v>55460</v>
      </c>
      <c r="G56" s="117">
        <f t="shared" si="1"/>
        <v>0</v>
      </c>
      <c r="H56" s="116">
        <f t="shared" si="9"/>
        <v>55460</v>
      </c>
      <c r="I56" s="116">
        <f t="shared" si="2"/>
        <v>55785</v>
      </c>
      <c r="J56" s="119">
        <f t="shared" si="3"/>
        <v>60598</v>
      </c>
      <c r="K56" s="119">
        <f t="shared" si="4"/>
        <v>65996</v>
      </c>
      <c r="L56" s="110"/>
      <c r="M56" s="110"/>
      <c r="N56" s="110"/>
      <c r="O56" s="110"/>
      <c r="P56" s="110"/>
      <c r="Q56" s="110"/>
      <c r="R56" s="110"/>
    </row>
    <row r="57" spans="1:23" x14ac:dyDescent="0.3">
      <c r="A57" s="109">
        <v>32</v>
      </c>
      <c r="B57" s="58">
        <f t="shared" si="5"/>
        <v>8986549</v>
      </c>
      <c r="C57" s="116">
        <f t="shared" si="6"/>
        <v>32911</v>
      </c>
      <c r="D57" s="117">
        <f t="shared" si="7"/>
        <v>22549</v>
      </c>
      <c r="E57" s="297">
        <f t="shared" si="8"/>
        <v>39779</v>
      </c>
      <c r="F57" s="116">
        <f t="shared" si="0"/>
        <v>55460</v>
      </c>
      <c r="G57" s="117">
        <f t="shared" si="1"/>
        <v>0</v>
      </c>
      <c r="H57" s="116">
        <f t="shared" si="9"/>
        <v>55460</v>
      </c>
      <c r="I57" s="116">
        <f t="shared" si="2"/>
        <v>55785</v>
      </c>
      <c r="J57" s="119">
        <f t="shared" si="3"/>
        <v>60598</v>
      </c>
      <c r="K57" s="119">
        <f t="shared" si="4"/>
        <v>65996</v>
      </c>
      <c r="L57" s="110"/>
      <c r="M57" s="110"/>
      <c r="N57" s="110"/>
      <c r="O57" s="110"/>
      <c r="P57" s="110"/>
      <c r="Q57" s="110"/>
      <c r="R57" s="110"/>
    </row>
    <row r="58" spans="1:23" x14ac:dyDescent="0.3">
      <c r="A58" s="109">
        <v>33</v>
      </c>
      <c r="B58" s="58">
        <f t="shared" si="5"/>
        <v>8953555</v>
      </c>
      <c r="C58" s="116">
        <f t="shared" si="6"/>
        <v>32994</v>
      </c>
      <c r="D58" s="117">
        <f t="shared" si="7"/>
        <v>22466</v>
      </c>
      <c r="E58" s="297">
        <f t="shared" si="8"/>
        <v>39779</v>
      </c>
      <c r="F58" s="116">
        <f t="shared" si="0"/>
        <v>55460</v>
      </c>
      <c r="G58" s="117">
        <f t="shared" si="1"/>
        <v>0</v>
      </c>
      <c r="H58" s="116">
        <f t="shared" si="9"/>
        <v>55460</v>
      </c>
      <c r="I58" s="116">
        <f t="shared" si="2"/>
        <v>55785</v>
      </c>
      <c r="J58" s="119">
        <f t="shared" si="3"/>
        <v>60598</v>
      </c>
      <c r="K58" s="119">
        <f t="shared" si="4"/>
        <v>65996</v>
      </c>
      <c r="L58" s="110"/>
      <c r="M58" s="110"/>
      <c r="N58" s="110"/>
      <c r="O58" s="110"/>
      <c r="P58" s="110"/>
      <c r="Q58" s="110"/>
      <c r="R58" s="110"/>
    </row>
    <row r="59" spans="1:23" x14ac:dyDescent="0.3">
      <c r="A59" s="109">
        <v>34</v>
      </c>
      <c r="B59" s="58">
        <f t="shared" si="5"/>
        <v>8920479</v>
      </c>
      <c r="C59" s="116">
        <f t="shared" si="6"/>
        <v>33076</v>
      </c>
      <c r="D59" s="117">
        <f t="shared" si="7"/>
        <v>22384</v>
      </c>
      <c r="E59" s="297">
        <f t="shared" si="8"/>
        <v>39779</v>
      </c>
      <c r="F59" s="116">
        <f t="shared" si="0"/>
        <v>55460</v>
      </c>
      <c r="G59" s="117">
        <f t="shared" si="1"/>
        <v>0</v>
      </c>
      <c r="H59" s="116">
        <f t="shared" si="9"/>
        <v>55460</v>
      </c>
      <c r="I59" s="116">
        <f t="shared" si="2"/>
        <v>55785</v>
      </c>
      <c r="J59" s="119">
        <f t="shared" si="3"/>
        <v>60598</v>
      </c>
      <c r="K59" s="119">
        <f t="shared" si="4"/>
        <v>65996</v>
      </c>
      <c r="L59" s="110"/>
      <c r="M59" s="110"/>
      <c r="N59" s="110"/>
      <c r="O59" s="110"/>
      <c r="P59" s="110"/>
      <c r="Q59" s="110"/>
      <c r="R59" s="110"/>
    </row>
    <row r="60" spans="1:23" x14ac:dyDescent="0.3">
      <c r="A60" s="109">
        <v>35</v>
      </c>
      <c r="B60" s="58">
        <f t="shared" si="5"/>
        <v>8887320</v>
      </c>
      <c r="C60" s="116">
        <f t="shared" si="6"/>
        <v>33159</v>
      </c>
      <c r="D60" s="117">
        <f t="shared" si="7"/>
        <v>22301</v>
      </c>
      <c r="E60" s="297">
        <f t="shared" si="8"/>
        <v>39779</v>
      </c>
      <c r="F60" s="116">
        <f t="shared" si="0"/>
        <v>55460</v>
      </c>
      <c r="G60" s="117">
        <f t="shared" si="1"/>
        <v>0</v>
      </c>
      <c r="H60" s="116">
        <f t="shared" si="9"/>
        <v>55460</v>
      </c>
      <c r="I60" s="116">
        <f t="shared" si="2"/>
        <v>55785</v>
      </c>
      <c r="J60" s="119">
        <f t="shared" si="3"/>
        <v>60598</v>
      </c>
      <c r="K60" s="119">
        <f t="shared" si="4"/>
        <v>65996</v>
      </c>
      <c r="L60" s="110"/>
      <c r="M60" s="110"/>
      <c r="N60" s="110"/>
      <c r="O60" s="110"/>
      <c r="P60" s="110"/>
      <c r="Q60" s="110"/>
      <c r="R60" s="110"/>
    </row>
    <row r="61" spans="1:23" x14ac:dyDescent="0.3">
      <c r="A61" s="109">
        <v>36</v>
      </c>
      <c r="B61" s="58">
        <f t="shared" si="5"/>
        <v>8854078</v>
      </c>
      <c r="C61" s="116">
        <f t="shared" si="6"/>
        <v>33242</v>
      </c>
      <c r="D61" s="117">
        <f t="shared" si="7"/>
        <v>22218</v>
      </c>
      <c r="E61" s="297">
        <f t="shared" si="8"/>
        <v>39779</v>
      </c>
      <c r="F61" s="116">
        <f t="shared" si="0"/>
        <v>55460</v>
      </c>
      <c r="G61" s="117">
        <f t="shared" si="1"/>
        <v>0</v>
      </c>
      <c r="H61" s="116">
        <f t="shared" si="9"/>
        <v>55460</v>
      </c>
      <c r="I61" s="116">
        <f t="shared" si="2"/>
        <v>55785</v>
      </c>
      <c r="J61" s="119">
        <f t="shared" si="3"/>
        <v>60598</v>
      </c>
      <c r="K61" s="119">
        <f t="shared" si="4"/>
        <v>65996</v>
      </c>
      <c r="L61" s="58">
        <f t="shared" ref="L61:Q61" si="12">SUM(C50:C61)</f>
        <v>393474</v>
      </c>
      <c r="M61" s="58">
        <f t="shared" si="12"/>
        <v>272046</v>
      </c>
      <c r="N61" s="58">
        <f t="shared" si="12"/>
        <v>477348</v>
      </c>
      <c r="O61" s="58">
        <f t="shared" si="12"/>
        <v>665520</v>
      </c>
      <c r="P61" s="58">
        <f t="shared" si="12"/>
        <v>0</v>
      </c>
      <c r="Q61" s="58">
        <f t="shared" si="12"/>
        <v>665520</v>
      </c>
      <c r="R61" s="58">
        <f>SUM(J50:J61)</f>
        <v>727176</v>
      </c>
      <c r="S61" s="29">
        <f>SUM(K50:K61)</f>
        <v>791952</v>
      </c>
      <c r="T61" s="29"/>
      <c r="U61" s="29"/>
      <c r="V61" s="29"/>
      <c r="W61" s="29"/>
    </row>
    <row r="62" spans="1:23" x14ac:dyDescent="0.3">
      <c r="A62" s="109">
        <v>37</v>
      </c>
      <c r="B62" s="58">
        <f t="shared" si="5"/>
        <v>8820753</v>
      </c>
      <c r="C62" s="116">
        <f t="shared" si="6"/>
        <v>33325</v>
      </c>
      <c r="D62" s="117">
        <f t="shared" si="7"/>
        <v>22135</v>
      </c>
      <c r="E62" s="297">
        <f t="shared" si="8"/>
        <v>39779</v>
      </c>
      <c r="F62" s="116">
        <f t="shared" si="0"/>
        <v>55460</v>
      </c>
      <c r="G62" s="117">
        <f t="shared" si="1"/>
        <v>0</v>
      </c>
      <c r="H62" s="116">
        <f t="shared" si="9"/>
        <v>55460</v>
      </c>
      <c r="I62" s="116">
        <f t="shared" si="2"/>
        <v>55785</v>
      </c>
      <c r="J62" s="119">
        <f t="shared" si="3"/>
        <v>60598</v>
      </c>
      <c r="K62" s="119">
        <f t="shared" si="4"/>
        <v>65996</v>
      </c>
      <c r="L62" s="110"/>
      <c r="M62" s="110"/>
      <c r="N62" s="110"/>
      <c r="O62" s="110"/>
      <c r="P62" s="110"/>
      <c r="Q62" s="110"/>
      <c r="R62" s="110"/>
    </row>
    <row r="63" spans="1:23" x14ac:dyDescent="0.3">
      <c r="A63" s="109">
        <v>38</v>
      </c>
      <c r="B63" s="58">
        <f t="shared" si="5"/>
        <v>8787345</v>
      </c>
      <c r="C63" s="116">
        <f t="shared" si="6"/>
        <v>33408</v>
      </c>
      <c r="D63" s="117">
        <f t="shared" si="7"/>
        <v>22052</v>
      </c>
      <c r="E63" s="297">
        <f t="shared" si="8"/>
        <v>39779</v>
      </c>
      <c r="F63" s="116">
        <f t="shared" si="0"/>
        <v>55460</v>
      </c>
      <c r="G63" s="117">
        <f t="shared" si="1"/>
        <v>0</v>
      </c>
      <c r="H63" s="116">
        <f t="shared" si="9"/>
        <v>55460</v>
      </c>
      <c r="I63" s="116">
        <f t="shared" si="2"/>
        <v>55785</v>
      </c>
      <c r="J63" s="119">
        <f t="shared" si="3"/>
        <v>60598</v>
      </c>
      <c r="K63" s="119">
        <f t="shared" si="4"/>
        <v>65996</v>
      </c>
      <c r="L63" s="110"/>
      <c r="M63" s="110"/>
      <c r="N63" s="110"/>
      <c r="O63" s="110"/>
      <c r="P63" s="110"/>
      <c r="Q63" s="110"/>
      <c r="R63" s="110"/>
    </row>
    <row r="64" spans="1:23" x14ac:dyDescent="0.3">
      <c r="A64" s="109">
        <v>39</v>
      </c>
      <c r="B64" s="58">
        <f t="shared" si="5"/>
        <v>8753853</v>
      </c>
      <c r="C64" s="116">
        <f t="shared" si="6"/>
        <v>33492</v>
      </c>
      <c r="D64" s="117">
        <f t="shared" si="7"/>
        <v>21968</v>
      </c>
      <c r="E64" s="297">
        <f t="shared" si="8"/>
        <v>39779</v>
      </c>
      <c r="F64" s="116">
        <f t="shared" si="0"/>
        <v>55460</v>
      </c>
      <c r="G64" s="117">
        <f t="shared" si="1"/>
        <v>0</v>
      </c>
      <c r="H64" s="116">
        <f t="shared" si="9"/>
        <v>55460</v>
      </c>
      <c r="I64" s="116">
        <f t="shared" si="2"/>
        <v>55785</v>
      </c>
      <c r="J64" s="119">
        <f t="shared" si="3"/>
        <v>60598</v>
      </c>
      <c r="K64" s="119">
        <f t="shared" si="4"/>
        <v>65996</v>
      </c>
      <c r="L64" s="110"/>
      <c r="M64" s="110"/>
      <c r="N64" s="110"/>
      <c r="O64" s="110"/>
      <c r="P64" s="110"/>
      <c r="Q64" s="110"/>
      <c r="R64" s="110"/>
    </row>
    <row r="65" spans="1:23" x14ac:dyDescent="0.3">
      <c r="A65" s="109">
        <v>40</v>
      </c>
      <c r="B65" s="58">
        <f t="shared" si="5"/>
        <v>8720278</v>
      </c>
      <c r="C65" s="116">
        <f t="shared" si="6"/>
        <v>33575</v>
      </c>
      <c r="D65" s="117">
        <f t="shared" si="7"/>
        <v>21885</v>
      </c>
      <c r="E65" s="297">
        <f t="shared" si="8"/>
        <v>39779</v>
      </c>
      <c r="F65" s="116">
        <f t="shared" si="0"/>
        <v>55460</v>
      </c>
      <c r="G65" s="117">
        <f t="shared" si="1"/>
        <v>0</v>
      </c>
      <c r="H65" s="116">
        <f t="shared" si="9"/>
        <v>55460</v>
      </c>
      <c r="I65" s="116">
        <f t="shared" si="2"/>
        <v>55785</v>
      </c>
      <c r="J65" s="119">
        <f t="shared" si="3"/>
        <v>60598</v>
      </c>
      <c r="K65" s="119">
        <f t="shared" si="4"/>
        <v>65996</v>
      </c>
      <c r="L65" s="110"/>
      <c r="M65" s="110"/>
      <c r="N65" s="110"/>
      <c r="O65" s="110"/>
      <c r="P65" s="110"/>
      <c r="Q65" s="110"/>
      <c r="R65" s="110"/>
    </row>
    <row r="66" spans="1:23" x14ac:dyDescent="0.3">
      <c r="A66" s="109">
        <v>41</v>
      </c>
      <c r="B66" s="58">
        <f t="shared" si="5"/>
        <v>8686619</v>
      </c>
      <c r="C66" s="116">
        <f t="shared" si="6"/>
        <v>33659</v>
      </c>
      <c r="D66" s="117">
        <f t="shared" si="7"/>
        <v>21801</v>
      </c>
      <c r="E66" s="297">
        <f t="shared" si="8"/>
        <v>39779</v>
      </c>
      <c r="F66" s="116">
        <f t="shared" si="0"/>
        <v>55460</v>
      </c>
      <c r="G66" s="117">
        <f t="shared" si="1"/>
        <v>0</v>
      </c>
      <c r="H66" s="116">
        <f t="shared" si="9"/>
        <v>55460</v>
      </c>
      <c r="I66" s="116">
        <f t="shared" si="2"/>
        <v>55785</v>
      </c>
      <c r="J66" s="119">
        <f t="shared" si="3"/>
        <v>60598</v>
      </c>
      <c r="K66" s="119">
        <f t="shared" si="4"/>
        <v>65996</v>
      </c>
      <c r="L66" s="110"/>
      <c r="M66" s="110"/>
      <c r="N66" s="110"/>
      <c r="O66" s="110"/>
      <c r="P66" s="110"/>
      <c r="Q66" s="110"/>
      <c r="R66" s="110"/>
    </row>
    <row r="67" spans="1:23" x14ac:dyDescent="0.3">
      <c r="A67" s="109">
        <v>42</v>
      </c>
      <c r="B67" s="58">
        <f t="shared" si="5"/>
        <v>8652876</v>
      </c>
      <c r="C67" s="116">
        <f t="shared" si="6"/>
        <v>33743</v>
      </c>
      <c r="D67" s="117">
        <f t="shared" si="7"/>
        <v>21717</v>
      </c>
      <c r="E67" s="297">
        <f t="shared" si="8"/>
        <v>39779</v>
      </c>
      <c r="F67" s="116">
        <f t="shared" si="0"/>
        <v>55460</v>
      </c>
      <c r="G67" s="117">
        <f t="shared" si="1"/>
        <v>0</v>
      </c>
      <c r="H67" s="116">
        <f t="shared" si="9"/>
        <v>55460</v>
      </c>
      <c r="I67" s="116">
        <f t="shared" si="2"/>
        <v>55785</v>
      </c>
      <c r="J67" s="119">
        <f t="shared" si="3"/>
        <v>60598</v>
      </c>
      <c r="K67" s="119">
        <f t="shared" si="4"/>
        <v>65996</v>
      </c>
      <c r="L67" s="110"/>
      <c r="M67" s="110"/>
      <c r="N67" s="110"/>
      <c r="O67" s="110"/>
      <c r="P67" s="110"/>
      <c r="Q67" s="110"/>
      <c r="R67" s="110"/>
    </row>
    <row r="68" spans="1:23" x14ac:dyDescent="0.3">
      <c r="A68" s="109">
        <v>43</v>
      </c>
      <c r="B68" s="58">
        <f t="shared" si="5"/>
        <v>8619048</v>
      </c>
      <c r="C68" s="116">
        <f t="shared" si="6"/>
        <v>33828</v>
      </c>
      <c r="D68" s="117">
        <f t="shared" si="7"/>
        <v>21632</v>
      </c>
      <c r="E68" s="297">
        <f t="shared" si="8"/>
        <v>39779</v>
      </c>
      <c r="F68" s="116">
        <f t="shared" si="0"/>
        <v>55460</v>
      </c>
      <c r="G68" s="117">
        <f t="shared" si="1"/>
        <v>0</v>
      </c>
      <c r="H68" s="116">
        <f t="shared" si="9"/>
        <v>55460</v>
      </c>
      <c r="I68" s="116">
        <f t="shared" si="2"/>
        <v>55785</v>
      </c>
      <c r="J68" s="119">
        <f t="shared" si="3"/>
        <v>60598</v>
      </c>
      <c r="K68" s="119">
        <f t="shared" si="4"/>
        <v>65996</v>
      </c>
      <c r="L68" s="110"/>
      <c r="M68" s="110"/>
      <c r="N68" s="110"/>
      <c r="O68" s="110"/>
      <c r="P68" s="110"/>
      <c r="Q68" s="110"/>
      <c r="R68" s="110"/>
    </row>
    <row r="69" spans="1:23" x14ac:dyDescent="0.3">
      <c r="A69" s="109">
        <v>44</v>
      </c>
      <c r="B69" s="58">
        <f t="shared" si="5"/>
        <v>8585136</v>
      </c>
      <c r="C69" s="116">
        <f t="shared" si="6"/>
        <v>33912</v>
      </c>
      <c r="D69" s="117">
        <f t="shared" si="7"/>
        <v>21548</v>
      </c>
      <c r="E69" s="297">
        <f t="shared" si="8"/>
        <v>39779</v>
      </c>
      <c r="F69" s="116">
        <f t="shared" si="0"/>
        <v>55460</v>
      </c>
      <c r="G69" s="117">
        <f t="shared" si="1"/>
        <v>0</v>
      </c>
      <c r="H69" s="116">
        <f t="shared" si="9"/>
        <v>55460</v>
      </c>
      <c r="I69" s="116">
        <f t="shared" si="2"/>
        <v>55785</v>
      </c>
      <c r="J69" s="119">
        <f t="shared" si="3"/>
        <v>60598</v>
      </c>
      <c r="K69" s="119">
        <f t="shared" si="4"/>
        <v>65996</v>
      </c>
      <c r="L69" s="110"/>
      <c r="M69" s="110"/>
      <c r="N69" s="110"/>
      <c r="O69" s="110"/>
      <c r="P69" s="110"/>
      <c r="Q69" s="110"/>
      <c r="R69" s="110"/>
    </row>
    <row r="70" spans="1:23" x14ac:dyDescent="0.3">
      <c r="A70" s="109">
        <v>45</v>
      </c>
      <c r="B70" s="58">
        <f t="shared" si="5"/>
        <v>8551139</v>
      </c>
      <c r="C70" s="116">
        <f t="shared" si="6"/>
        <v>33997</v>
      </c>
      <c r="D70" s="117">
        <f t="shared" si="7"/>
        <v>21463</v>
      </c>
      <c r="E70" s="297">
        <f t="shared" si="8"/>
        <v>39779</v>
      </c>
      <c r="F70" s="116">
        <f t="shared" si="0"/>
        <v>55460</v>
      </c>
      <c r="G70" s="117">
        <f t="shared" si="1"/>
        <v>0</v>
      </c>
      <c r="H70" s="116">
        <f t="shared" si="9"/>
        <v>55460</v>
      </c>
      <c r="I70" s="116">
        <f t="shared" si="2"/>
        <v>55785</v>
      </c>
      <c r="J70" s="119">
        <f t="shared" si="3"/>
        <v>60598</v>
      </c>
      <c r="K70" s="119">
        <f t="shared" si="4"/>
        <v>65996</v>
      </c>
      <c r="L70" s="110"/>
      <c r="M70" s="110"/>
      <c r="N70" s="110"/>
      <c r="O70" s="110"/>
      <c r="P70" s="110"/>
      <c r="Q70" s="110"/>
      <c r="R70" s="110"/>
    </row>
    <row r="71" spans="1:23" x14ac:dyDescent="0.3">
      <c r="A71" s="109">
        <v>46</v>
      </c>
      <c r="B71" s="58">
        <f t="shared" si="5"/>
        <v>8517057</v>
      </c>
      <c r="C71" s="116">
        <f t="shared" si="6"/>
        <v>34082</v>
      </c>
      <c r="D71" s="117">
        <f t="shared" si="7"/>
        <v>21378</v>
      </c>
      <c r="E71" s="297">
        <f t="shared" si="8"/>
        <v>39779</v>
      </c>
      <c r="F71" s="116">
        <f t="shared" si="0"/>
        <v>55460</v>
      </c>
      <c r="G71" s="117">
        <f t="shared" si="1"/>
        <v>0</v>
      </c>
      <c r="H71" s="116">
        <f t="shared" si="9"/>
        <v>55460</v>
      </c>
      <c r="I71" s="116">
        <f t="shared" si="2"/>
        <v>55785</v>
      </c>
      <c r="J71" s="119">
        <f t="shared" si="3"/>
        <v>60598</v>
      </c>
      <c r="K71" s="119">
        <f t="shared" si="4"/>
        <v>65996</v>
      </c>
      <c r="L71" s="110"/>
      <c r="M71" s="110"/>
      <c r="N71" s="110"/>
      <c r="O71" s="110"/>
      <c r="P71" s="110"/>
      <c r="Q71" s="110"/>
      <c r="R71" s="110"/>
    </row>
    <row r="72" spans="1:23" x14ac:dyDescent="0.3">
      <c r="A72" s="109">
        <v>47</v>
      </c>
      <c r="B72" s="58">
        <f t="shared" si="5"/>
        <v>8482890</v>
      </c>
      <c r="C72" s="116">
        <f t="shared" si="6"/>
        <v>34167</v>
      </c>
      <c r="D72" s="117">
        <f t="shared" si="7"/>
        <v>21293</v>
      </c>
      <c r="E72" s="297">
        <f t="shared" si="8"/>
        <v>39779</v>
      </c>
      <c r="F72" s="116">
        <f t="shared" si="0"/>
        <v>55460</v>
      </c>
      <c r="G72" s="117">
        <f t="shared" si="1"/>
        <v>0</v>
      </c>
      <c r="H72" s="116">
        <f t="shared" si="9"/>
        <v>55460</v>
      </c>
      <c r="I72" s="116">
        <f t="shared" si="2"/>
        <v>55785</v>
      </c>
      <c r="J72" s="119">
        <f t="shared" si="3"/>
        <v>60598</v>
      </c>
      <c r="K72" s="119">
        <f t="shared" si="4"/>
        <v>65996</v>
      </c>
      <c r="L72" s="110"/>
      <c r="M72" s="110"/>
      <c r="N72" s="110"/>
      <c r="O72" s="110"/>
      <c r="P72" s="110"/>
      <c r="Q72" s="110"/>
      <c r="R72" s="110"/>
    </row>
    <row r="73" spans="1:23" x14ac:dyDescent="0.3">
      <c r="A73" s="109">
        <v>48</v>
      </c>
      <c r="B73" s="58">
        <f t="shared" si="5"/>
        <v>8448637</v>
      </c>
      <c r="C73" s="116">
        <f t="shared" si="6"/>
        <v>34253</v>
      </c>
      <c r="D73" s="117">
        <f t="shared" si="7"/>
        <v>21207</v>
      </c>
      <c r="E73" s="297">
        <f t="shared" si="8"/>
        <v>39779</v>
      </c>
      <c r="F73" s="116">
        <f t="shared" si="0"/>
        <v>55460</v>
      </c>
      <c r="G73" s="117">
        <f t="shared" si="1"/>
        <v>0</v>
      </c>
      <c r="H73" s="116">
        <f t="shared" si="9"/>
        <v>55460</v>
      </c>
      <c r="I73" s="116">
        <f t="shared" si="2"/>
        <v>55785</v>
      </c>
      <c r="J73" s="119">
        <f t="shared" si="3"/>
        <v>60598</v>
      </c>
      <c r="K73" s="119">
        <f t="shared" si="4"/>
        <v>65996</v>
      </c>
      <c r="L73" s="58">
        <f t="shared" ref="L73:Q73" si="13">SUM(C62:C73)</f>
        <v>405441</v>
      </c>
      <c r="M73" s="58">
        <f t="shared" si="13"/>
        <v>260079</v>
      </c>
      <c r="N73" s="58">
        <f t="shared" si="13"/>
        <v>477348</v>
      </c>
      <c r="O73" s="58">
        <f t="shared" si="13"/>
        <v>665520</v>
      </c>
      <c r="P73" s="58">
        <f t="shared" si="13"/>
        <v>0</v>
      </c>
      <c r="Q73" s="58">
        <f t="shared" si="13"/>
        <v>665520</v>
      </c>
      <c r="R73" s="58">
        <f>SUM(J62:J73)</f>
        <v>727176</v>
      </c>
      <c r="S73" s="29">
        <f>SUM(K62:K73)</f>
        <v>791952</v>
      </c>
      <c r="T73" s="29"/>
      <c r="U73" s="29"/>
      <c r="V73" s="29"/>
      <c r="W73" s="29"/>
    </row>
    <row r="74" spans="1:23" x14ac:dyDescent="0.3">
      <c r="A74" s="111">
        <v>49</v>
      </c>
      <c r="B74" s="58">
        <f t="shared" si="5"/>
        <v>8414299</v>
      </c>
      <c r="C74" s="116">
        <f t="shared" si="6"/>
        <v>34338</v>
      </c>
      <c r="D74" s="117">
        <f t="shared" si="7"/>
        <v>21122</v>
      </c>
      <c r="E74" s="297">
        <f t="shared" si="8"/>
        <v>39779</v>
      </c>
      <c r="F74" s="116">
        <f t="shared" si="0"/>
        <v>55460</v>
      </c>
      <c r="G74" s="117">
        <f t="shared" si="1"/>
        <v>0</v>
      </c>
      <c r="H74" s="116">
        <f t="shared" si="9"/>
        <v>55460</v>
      </c>
      <c r="I74" s="116">
        <f t="shared" si="2"/>
        <v>55785</v>
      </c>
      <c r="J74" s="119">
        <f t="shared" si="3"/>
        <v>60598</v>
      </c>
      <c r="K74" s="119">
        <f t="shared" si="4"/>
        <v>65996</v>
      </c>
      <c r="L74" s="110"/>
      <c r="M74" s="110"/>
      <c r="N74" s="110"/>
      <c r="O74" s="110"/>
      <c r="P74" s="110"/>
      <c r="Q74" s="110"/>
      <c r="R74" s="110"/>
    </row>
    <row r="75" spans="1:23" x14ac:dyDescent="0.3">
      <c r="A75" s="109">
        <v>50</v>
      </c>
      <c r="B75" s="58">
        <f t="shared" si="5"/>
        <v>8379875</v>
      </c>
      <c r="C75" s="116">
        <f t="shared" si="6"/>
        <v>34424</v>
      </c>
      <c r="D75" s="117">
        <f t="shared" si="7"/>
        <v>21036</v>
      </c>
      <c r="E75" s="297">
        <f t="shared" si="8"/>
        <v>39779</v>
      </c>
      <c r="F75" s="116">
        <f t="shared" si="0"/>
        <v>55460</v>
      </c>
      <c r="G75" s="117">
        <f t="shared" si="1"/>
        <v>0</v>
      </c>
      <c r="H75" s="116">
        <f t="shared" si="9"/>
        <v>55460</v>
      </c>
      <c r="I75" s="116">
        <f t="shared" si="2"/>
        <v>55785</v>
      </c>
      <c r="J75" s="119">
        <f t="shared" si="3"/>
        <v>60598</v>
      </c>
      <c r="K75" s="119">
        <f t="shared" si="4"/>
        <v>65996</v>
      </c>
      <c r="L75" s="110"/>
      <c r="M75" s="110"/>
      <c r="N75" s="110"/>
      <c r="O75" s="110"/>
      <c r="P75" s="110"/>
      <c r="Q75" s="110"/>
      <c r="R75" s="110"/>
    </row>
    <row r="76" spans="1:23" x14ac:dyDescent="0.3">
      <c r="A76" s="109">
        <v>51</v>
      </c>
      <c r="B76" s="58">
        <f t="shared" si="5"/>
        <v>8345365</v>
      </c>
      <c r="C76" s="116">
        <f t="shared" si="6"/>
        <v>34510</v>
      </c>
      <c r="D76" s="117">
        <f t="shared" si="7"/>
        <v>20950</v>
      </c>
      <c r="E76" s="297">
        <f t="shared" si="8"/>
        <v>39779</v>
      </c>
      <c r="F76" s="116">
        <f t="shared" si="0"/>
        <v>55460</v>
      </c>
      <c r="G76" s="117">
        <f t="shared" si="1"/>
        <v>0</v>
      </c>
      <c r="H76" s="116">
        <f t="shared" si="9"/>
        <v>55460</v>
      </c>
      <c r="I76" s="116">
        <f t="shared" si="2"/>
        <v>55785</v>
      </c>
      <c r="J76" s="119">
        <f t="shared" si="3"/>
        <v>60598</v>
      </c>
      <c r="K76" s="119">
        <f t="shared" si="4"/>
        <v>65996</v>
      </c>
      <c r="L76" s="110"/>
      <c r="M76" s="110"/>
      <c r="N76" s="110"/>
      <c r="O76" s="110"/>
      <c r="P76" s="110"/>
      <c r="Q76" s="110"/>
      <c r="R76" s="110"/>
    </row>
    <row r="77" spans="1:23" x14ac:dyDescent="0.3">
      <c r="A77" s="109">
        <v>52</v>
      </c>
      <c r="B77" s="58">
        <f t="shared" si="5"/>
        <v>8310768</v>
      </c>
      <c r="C77" s="116">
        <f t="shared" si="6"/>
        <v>34597</v>
      </c>
      <c r="D77" s="117">
        <f t="shared" si="7"/>
        <v>20863</v>
      </c>
      <c r="E77" s="297">
        <f t="shared" si="8"/>
        <v>39779</v>
      </c>
      <c r="F77" s="116">
        <f t="shared" si="0"/>
        <v>55460</v>
      </c>
      <c r="G77" s="117">
        <f t="shared" si="1"/>
        <v>0</v>
      </c>
      <c r="H77" s="116">
        <f t="shared" si="9"/>
        <v>55460</v>
      </c>
      <c r="I77" s="116">
        <f t="shared" si="2"/>
        <v>55785</v>
      </c>
      <c r="J77" s="119">
        <f t="shared" si="3"/>
        <v>60598</v>
      </c>
      <c r="K77" s="119">
        <f t="shared" si="4"/>
        <v>65996</v>
      </c>
      <c r="L77" s="110"/>
      <c r="M77" s="110"/>
      <c r="N77" s="110"/>
      <c r="O77" s="110"/>
      <c r="P77" s="110"/>
      <c r="Q77" s="110"/>
      <c r="R77" s="110"/>
    </row>
    <row r="78" spans="1:23" x14ac:dyDescent="0.3">
      <c r="A78" s="109">
        <v>53</v>
      </c>
      <c r="B78" s="58">
        <f t="shared" si="5"/>
        <v>8276085</v>
      </c>
      <c r="C78" s="116">
        <f t="shared" si="6"/>
        <v>34683</v>
      </c>
      <c r="D78" s="117">
        <f t="shared" si="7"/>
        <v>20777</v>
      </c>
      <c r="E78" s="297">
        <f t="shared" si="8"/>
        <v>39779</v>
      </c>
      <c r="F78" s="116">
        <f t="shared" si="0"/>
        <v>55460</v>
      </c>
      <c r="G78" s="117">
        <f t="shared" si="1"/>
        <v>0</v>
      </c>
      <c r="H78" s="116">
        <f t="shared" si="9"/>
        <v>55460</v>
      </c>
      <c r="I78" s="116">
        <f t="shared" si="2"/>
        <v>55785</v>
      </c>
      <c r="J78" s="119">
        <f t="shared" si="3"/>
        <v>60598</v>
      </c>
      <c r="K78" s="119">
        <f t="shared" si="4"/>
        <v>65996</v>
      </c>
      <c r="L78" s="110"/>
      <c r="M78" s="110"/>
      <c r="N78" s="110"/>
      <c r="O78" s="110"/>
      <c r="P78" s="110"/>
      <c r="Q78" s="110"/>
      <c r="R78" s="110"/>
    </row>
    <row r="79" spans="1:23" x14ac:dyDescent="0.3">
      <c r="A79" s="109">
        <v>54</v>
      </c>
      <c r="B79" s="58">
        <f t="shared" si="5"/>
        <v>8241315</v>
      </c>
      <c r="C79" s="116">
        <f t="shared" si="6"/>
        <v>34770</v>
      </c>
      <c r="D79" s="117">
        <f t="shared" si="7"/>
        <v>20690</v>
      </c>
      <c r="E79" s="297">
        <f t="shared" si="8"/>
        <v>39779</v>
      </c>
      <c r="F79" s="116">
        <f t="shared" si="0"/>
        <v>55460</v>
      </c>
      <c r="G79" s="117">
        <f t="shared" si="1"/>
        <v>0</v>
      </c>
      <c r="H79" s="116">
        <f t="shared" si="9"/>
        <v>55460</v>
      </c>
      <c r="I79" s="116">
        <f t="shared" si="2"/>
        <v>55785</v>
      </c>
      <c r="J79" s="119">
        <f t="shared" si="3"/>
        <v>60598</v>
      </c>
      <c r="K79" s="119">
        <f t="shared" si="4"/>
        <v>65996</v>
      </c>
      <c r="L79" s="110"/>
      <c r="M79" s="110"/>
      <c r="N79" s="110"/>
      <c r="O79" s="110"/>
      <c r="P79" s="110"/>
      <c r="Q79" s="110"/>
      <c r="R79" s="110"/>
    </row>
    <row r="80" spans="1:23" x14ac:dyDescent="0.3">
      <c r="A80" s="109">
        <v>55</v>
      </c>
      <c r="B80" s="58">
        <f t="shared" si="5"/>
        <v>8206458</v>
      </c>
      <c r="C80" s="116">
        <f t="shared" si="6"/>
        <v>34857</v>
      </c>
      <c r="D80" s="117">
        <f t="shared" si="7"/>
        <v>20603</v>
      </c>
      <c r="E80" s="297">
        <f t="shared" si="8"/>
        <v>39779</v>
      </c>
      <c r="F80" s="116">
        <f t="shared" si="0"/>
        <v>55460</v>
      </c>
      <c r="G80" s="117">
        <f t="shared" si="1"/>
        <v>0</v>
      </c>
      <c r="H80" s="116">
        <f t="shared" si="9"/>
        <v>55460</v>
      </c>
      <c r="I80" s="116">
        <f t="shared" si="2"/>
        <v>55785</v>
      </c>
      <c r="J80" s="119">
        <f t="shared" si="3"/>
        <v>60598</v>
      </c>
      <c r="K80" s="119">
        <f t="shared" si="4"/>
        <v>65996</v>
      </c>
      <c r="L80" s="110"/>
      <c r="M80" s="110"/>
      <c r="N80" s="110"/>
      <c r="O80" s="110"/>
      <c r="P80" s="110"/>
      <c r="Q80" s="110"/>
      <c r="R80" s="110"/>
    </row>
    <row r="81" spans="1:256" x14ac:dyDescent="0.3">
      <c r="A81" s="109">
        <v>56</v>
      </c>
      <c r="B81" s="58">
        <f t="shared" si="5"/>
        <v>8171514</v>
      </c>
      <c r="C81" s="116">
        <f t="shared" si="6"/>
        <v>34944</v>
      </c>
      <c r="D81" s="117">
        <f t="shared" si="7"/>
        <v>20516</v>
      </c>
      <c r="E81" s="297">
        <f t="shared" si="8"/>
        <v>39779</v>
      </c>
      <c r="F81" s="116">
        <f t="shared" si="0"/>
        <v>55460</v>
      </c>
      <c r="G81" s="117">
        <f t="shared" si="1"/>
        <v>0</v>
      </c>
      <c r="H81" s="116">
        <f t="shared" si="9"/>
        <v>55460</v>
      </c>
      <c r="I81" s="116">
        <f t="shared" si="2"/>
        <v>55785</v>
      </c>
      <c r="J81" s="119">
        <f t="shared" si="3"/>
        <v>60598</v>
      </c>
      <c r="K81" s="119">
        <f t="shared" si="4"/>
        <v>65996</v>
      </c>
      <c r="L81" s="110"/>
      <c r="M81" s="110"/>
      <c r="N81" s="110"/>
      <c r="O81" s="110"/>
      <c r="P81" s="110"/>
      <c r="Q81" s="110"/>
      <c r="R81" s="110"/>
    </row>
    <row r="82" spans="1:256" x14ac:dyDescent="0.3">
      <c r="A82" s="109">
        <v>57</v>
      </c>
      <c r="B82" s="58">
        <f t="shared" si="5"/>
        <v>8136483</v>
      </c>
      <c r="C82" s="116">
        <f t="shared" si="6"/>
        <v>35031</v>
      </c>
      <c r="D82" s="117">
        <f t="shared" si="7"/>
        <v>20429</v>
      </c>
      <c r="E82" s="297">
        <f t="shared" si="8"/>
        <v>39779</v>
      </c>
      <c r="F82" s="116">
        <f t="shared" si="0"/>
        <v>55460</v>
      </c>
      <c r="G82" s="117">
        <f t="shared" si="1"/>
        <v>0</v>
      </c>
      <c r="H82" s="116">
        <f t="shared" si="9"/>
        <v>55460</v>
      </c>
      <c r="I82" s="116">
        <f t="shared" si="2"/>
        <v>55785</v>
      </c>
      <c r="J82" s="119">
        <f t="shared" si="3"/>
        <v>60598</v>
      </c>
      <c r="K82" s="119">
        <f t="shared" si="4"/>
        <v>65996</v>
      </c>
      <c r="L82" s="110"/>
      <c r="M82" s="110"/>
      <c r="N82" s="110"/>
      <c r="O82" s="110"/>
      <c r="P82" s="110"/>
      <c r="Q82" s="110"/>
      <c r="R82" s="110"/>
    </row>
    <row r="83" spans="1:256" x14ac:dyDescent="0.3">
      <c r="A83" s="109">
        <v>58</v>
      </c>
      <c r="B83" s="58">
        <f t="shared" si="5"/>
        <v>8101364</v>
      </c>
      <c r="C83" s="116">
        <f t="shared" si="6"/>
        <v>35119</v>
      </c>
      <c r="D83" s="117">
        <f t="shared" si="7"/>
        <v>20341</v>
      </c>
      <c r="E83" s="297">
        <f t="shared" si="8"/>
        <v>39779</v>
      </c>
      <c r="F83" s="116">
        <f t="shared" si="0"/>
        <v>55460</v>
      </c>
      <c r="G83" s="117">
        <f t="shared" si="1"/>
        <v>0</v>
      </c>
      <c r="H83" s="116">
        <f t="shared" si="9"/>
        <v>55460</v>
      </c>
      <c r="I83" s="116">
        <f t="shared" si="2"/>
        <v>55785</v>
      </c>
      <c r="J83" s="119">
        <f t="shared" si="3"/>
        <v>60598</v>
      </c>
      <c r="K83" s="119">
        <f t="shared" si="4"/>
        <v>65996</v>
      </c>
      <c r="L83" s="110"/>
      <c r="M83" s="110"/>
      <c r="N83" s="110"/>
      <c r="O83" s="110"/>
      <c r="P83" s="110"/>
      <c r="Q83" s="110"/>
      <c r="R83" s="110"/>
    </row>
    <row r="84" spans="1:256" x14ac:dyDescent="0.3">
      <c r="A84" s="109">
        <v>59</v>
      </c>
      <c r="B84" s="58">
        <f t="shared" si="5"/>
        <v>8066157</v>
      </c>
      <c r="C84" s="116">
        <f t="shared" si="6"/>
        <v>35207</v>
      </c>
      <c r="D84" s="117">
        <f t="shared" si="7"/>
        <v>20253</v>
      </c>
      <c r="E84" s="297">
        <f t="shared" si="8"/>
        <v>39779</v>
      </c>
      <c r="F84" s="116">
        <f t="shared" si="0"/>
        <v>55460</v>
      </c>
      <c r="G84" s="117">
        <f t="shared" si="1"/>
        <v>0</v>
      </c>
      <c r="H84" s="116">
        <f t="shared" si="9"/>
        <v>55460</v>
      </c>
      <c r="I84" s="116">
        <f t="shared" si="2"/>
        <v>55785</v>
      </c>
      <c r="J84" s="119">
        <f t="shared" si="3"/>
        <v>60598</v>
      </c>
      <c r="K84" s="119">
        <f t="shared" si="4"/>
        <v>65996</v>
      </c>
      <c r="L84" s="110"/>
      <c r="M84" s="110"/>
      <c r="N84" s="110"/>
      <c r="O84" s="110"/>
      <c r="P84" s="110"/>
      <c r="Q84" s="110"/>
      <c r="R84" s="110"/>
    </row>
    <row r="85" spans="1:256" s="127" customFormat="1" x14ac:dyDescent="0.3">
      <c r="A85" s="109">
        <v>60</v>
      </c>
      <c r="B85" s="58">
        <f t="shared" si="5"/>
        <v>8030862</v>
      </c>
      <c r="C85" s="116">
        <f t="shared" si="6"/>
        <v>35295</v>
      </c>
      <c r="D85" s="117">
        <f t="shared" si="7"/>
        <v>20165</v>
      </c>
      <c r="E85" s="297">
        <f t="shared" si="8"/>
        <v>39779</v>
      </c>
      <c r="F85" s="116">
        <f t="shared" si="0"/>
        <v>55460</v>
      </c>
      <c r="G85" s="117">
        <f t="shared" si="1"/>
        <v>0</v>
      </c>
      <c r="H85" s="116">
        <f t="shared" si="9"/>
        <v>55460</v>
      </c>
      <c r="I85" s="116">
        <f t="shared" si="2"/>
        <v>55785</v>
      </c>
      <c r="J85" s="119">
        <f t="shared" si="3"/>
        <v>60598</v>
      </c>
      <c r="K85" s="119">
        <f t="shared" si="4"/>
        <v>65996</v>
      </c>
      <c r="L85" s="126">
        <f t="shared" ref="L85:Q85" si="14">SUM(C74:C85)</f>
        <v>417775</v>
      </c>
      <c r="M85" s="126">
        <f t="shared" si="14"/>
        <v>247745</v>
      </c>
      <c r="N85" s="126">
        <f t="shared" si="14"/>
        <v>477348</v>
      </c>
      <c r="O85" s="126">
        <f t="shared" si="14"/>
        <v>665520</v>
      </c>
      <c r="P85" s="126">
        <f t="shared" si="14"/>
        <v>0</v>
      </c>
      <c r="Q85" s="126">
        <f t="shared" si="14"/>
        <v>665520</v>
      </c>
      <c r="R85" s="126">
        <f>SUM(J74:J85)</f>
        <v>727176</v>
      </c>
      <c r="S85" s="126">
        <f>SUM(K74:K85)</f>
        <v>791952</v>
      </c>
      <c r="T85" s="126"/>
      <c r="U85" s="126"/>
      <c r="V85" s="126"/>
      <c r="W85" s="126"/>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x14ac:dyDescent="0.3">
      <c r="A86" s="109">
        <v>61</v>
      </c>
      <c r="B86" s="58">
        <f t="shared" si="5"/>
        <v>7995479</v>
      </c>
      <c r="C86" s="116">
        <f t="shared" si="6"/>
        <v>35383</v>
      </c>
      <c r="D86" s="117">
        <f t="shared" si="7"/>
        <v>20077</v>
      </c>
      <c r="E86" s="297">
        <f t="shared" si="8"/>
        <v>39779</v>
      </c>
      <c r="F86" s="116">
        <f t="shared" si="0"/>
        <v>55460</v>
      </c>
      <c r="G86" s="117">
        <f t="shared" si="1"/>
        <v>0</v>
      </c>
      <c r="H86" s="116">
        <f t="shared" si="9"/>
        <v>55460</v>
      </c>
      <c r="I86" s="116">
        <f t="shared" si="2"/>
        <v>55785</v>
      </c>
      <c r="J86" s="119">
        <f t="shared" si="3"/>
        <v>60598</v>
      </c>
      <c r="K86" s="119">
        <f t="shared" si="4"/>
        <v>65996</v>
      </c>
      <c r="L86" s="110"/>
      <c r="M86" s="110"/>
      <c r="N86" s="110"/>
      <c r="O86" s="110"/>
      <c r="P86" s="110"/>
      <c r="Q86" s="110"/>
      <c r="R86" s="110"/>
    </row>
    <row r="87" spans="1:256" x14ac:dyDescent="0.3">
      <c r="A87" s="109">
        <v>62</v>
      </c>
      <c r="B87" s="58">
        <f t="shared" si="5"/>
        <v>7960008</v>
      </c>
      <c r="C87" s="116">
        <f t="shared" si="6"/>
        <v>35471</v>
      </c>
      <c r="D87" s="117">
        <f t="shared" si="7"/>
        <v>19989</v>
      </c>
      <c r="E87" s="297">
        <f t="shared" si="8"/>
        <v>39779</v>
      </c>
      <c r="F87" s="116">
        <f t="shared" si="0"/>
        <v>55460</v>
      </c>
      <c r="G87" s="117">
        <f t="shared" si="1"/>
        <v>0</v>
      </c>
      <c r="H87" s="116">
        <f t="shared" si="9"/>
        <v>55460</v>
      </c>
      <c r="I87" s="116">
        <f t="shared" si="2"/>
        <v>55785</v>
      </c>
      <c r="J87" s="119">
        <f t="shared" si="3"/>
        <v>60598</v>
      </c>
      <c r="K87" s="119">
        <f t="shared" si="4"/>
        <v>65996</v>
      </c>
      <c r="L87" s="110"/>
      <c r="M87" s="110"/>
      <c r="N87" s="110"/>
      <c r="O87" s="110"/>
      <c r="P87" s="110"/>
      <c r="Q87" s="110"/>
      <c r="R87" s="110"/>
    </row>
    <row r="88" spans="1:256" x14ac:dyDescent="0.3">
      <c r="A88" s="109">
        <v>63</v>
      </c>
      <c r="B88" s="58">
        <f t="shared" si="5"/>
        <v>7924448</v>
      </c>
      <c r="C88" s="116">
        <f t="shared" si="6"/>
        <v>35560</v>
      </c>
      <c r="D88" s="117">
        <f t="shared" si="7"/>
        <v>19900</v>
      </c>
      <c r="E88" s="297">
        <f t="shared" si="8"/>
        <v>39779</v>
      </c>
      <c r="F88" s="116">
        <f t="shared" si="0"/>
        <v>55460</v>
      </c>
      <c r="G88" s="117">
        <f t="shared" si="1"/>
        <v>0</v>
      </c>
      <c r="H88" s="116">
        <f t="shared" si="9"/>
        <v>55460</v>
      </c>
      <c r="I88" s="116">
        <f t="shared" si="2"/>
        <v>55785</v>
      </c>
      <c r="J88" s="119">
        <f t="shared" si="3"/>
        <v>60598</v>
      </c>
      <c r="K88" s="119">
        <f t="shared" si="4"/>
        <v>65996</v>
      </c>
      <c r="L88" s="110"/>
      <c r="M88" s="110"/>
      <c r="N88" s="110"/>
      <c r="O88" s="110"/>
      <c r="P88" s="110"/>
      <c r="Q88" s="110"/>
      <c r="R88" s="110"/>
    </row>
    <row r="89" spans="1:256" x14ac:dyDescent="0.3">
      <c r="A89" s="109">
        <v>64</v>
      </c>
      <c r="B89" s="58">
        <f t="shared" si="5"/>
        <v>7888799</v>
      </c>
      <c r="C89" s="116">
        <f t="shared" si="6"/>
        <v>35649</v>
      </c>
      <c r="D89" s="117">
        <f t="shared" si="7"/>
        <v>19811</v>
      </c>
      <c r="E89" s="297">
        <f t="shared" si="8"/>
        <v>39779</v>
      </c>
      <c r="F89" s="116">
        <f t="shared" si="0"/>
        <v>55460</v>
      </c>
      <c r="G89" s="117">
        <f t="shared" si="1"/>
        <v>0</v>
      </c>
      <c r="H89" s="116">
        <f t="shared" si="9"/>
        <v>55460</v>
      </c>
      <c r="I89" s="116">
        <f t="shared" si="2"/>
        <v>55785</v>
      </c>
      <c r="J89" s="119">
        <f t="shared" si="3"/>
        <v>60598</v>
      </c>
      <c r="K89" s="119">
        <f t="shared" si="4"/>
        <v>65996</v>
      </c>
      <c r="L89" s="110"/>
      <c r="M89" s="110"/>
      <c r="N89" s="110"/>
      <c r="O89" s="110"/>
      <c r="P89" s="110"/>
      <c r="Q89" s="110"/>
      <c r="R89" s="110"/>
    </row>
    <row r="90" spans="1:256" x14ac:dyDescent="0.3">
      <c r="A90" s="109">
        <v>65</v>
      </c>
      <c r="B90" s="58">
        <f t="shared" si="5"/>
        <v>7853061</v>
      </c>
      <c r="C90" s="116">
        <f t="shared" si="6"/>
        <v>35738</v>
      </c>
      <c r="D90" s="117">
        <f t="shared" si="7"/>
        <v>19722</v>
      </c>
      <c r="E90" s="297">
        <f t="shared" si="8"/>
        <v>39779</v>
      </c>
      <c r="F90" s="116">
        <f t="shared" ref="F90:F153" si="15">ROUND(IF(A90&gt;$G$6,(IF(A90&gt;=$C$3,B89+D90,PMT($C$4/12,$C$3-$G$6,-$B$25))),D90),0)</f>
        <v>55460</v>
      </c>
      <c r="G90" s="117">
        <f t="shared" ref="G90:G153" si="16">ROUND(IF(A90&gt;$G$6,0,$B$25*$C$14/360*30),0)</f>
        <v>0</v>
      </c>
      <c r="H90" s="116">
        <f t="shared" si="9"/>
        <v>55460</v>
      </c>
      <c r="I90" s="116">
        <f t="shared" ref="I90:I153" si="17">IF(A90&lt;=$C$3,H90+$C$17,0)</f>
        <v>55785</v>
      </c>
      <c r="J90" s="119">
        <f t="shared" ref="J90:J153" si="18">ROUND(IF(A90&gt;$G$6,(IF(A90&gt;=$C$3,B89+D90,PMT($L$12/12,$C$3-$G$6,-$B$25))),D90),0)</f>
        <v>60598</v>
      </c>
      <c r="K90" s="119">
        <f t="shared" ref="K90:K153" si="19">ROUND(IF(A90&gt;$G$6,(IF(A90&gt;=$C$3,B89+D90,PMT($L$13/12,$C$3-$G$6,-$B$25))),D90),0)</f>
        <v>65996</v>
      </c>
      <c r="L90" s="110"/>
      <c r="M90" s="110"/>
      <c r="N90" s="110"/>
      <c r="O90" s="110"/>
      <c r="P90" s="110"/>
      <c r="Q90" s="110"/>
      <c r="R90" s="110"/>
    </row>
    <row r="91" spans="1:256" x14ac:dyDescent="0.3">
      <c r="A91" s="109">
        <v>66</v>
      </c>
      <c r="B91" s="58">
        <f t="shared" ref="B91:B154" si="20">B90-C91</f>
        <v>7817234</v>
      </c>
      <c r="C91" s="116">
        <f t="shared" ref="C91:C154" si="21">+F91-D91</f>
        <v>35827</v>
      </c>
      <c r="D91" s="117">
        <f t="shared" ref="D91:D154" si="22">ROUND(IF(A91&gt;$G$6,B90*$C$4*30/360,0),0)</f>
        <v>19633</v>
      </c>
      <c r="E91" s="297">
        <f t="shared" ref="E91:E154" si="23">ROUND(IF(A91&gt;$C$3,0,$B$25*($C$5/12)),0)</f>
        <v>39779</v>
      </c>
      <c r="F91" s="116">
        <f t="shared" si="15"/>
        <v>55460</v>
      </c>
      <c r="G91" s="117">
        <f t="shared" si="16"/>
        <v>0</v>
      </c>
      <c r="H91" s="116">
        <f t="shared" si="9"/>
        <v>55460</v>
      </c>
      <c r="I91" s="116">
        <f t="shared" si="17"/>
        <v>55785</v>
      </c>
      <c r="J91" s="119">
        <f t="shared" si="18"/>
        <v>60598</v>
      </c>
      <c r="K91" s="119">
        <f t="shared" si="19"/>
        <v>65996</v>
      </c>
      <c r="L91" s="110"/>
      <c r="M91" s="110"/>
      <c r="N91" s="110"/>
      <c r="O91" s="110"/>
      <c r="P91" s="110"/>
      <c r="Q91" s="110"/>
      <c r="R91" s="110"/>
    </row>
    <row r="92" spans="1:256" x14ac:dyDescent="0.3">
      <c r="A92" s="109">
        <v>67</v>
      </c>
      <c r="B92" s="58">
        <f t="shared" si="20"/>
        <v>7781317</v>
      </c>
      <c r="C92" s="116">
        <f t="shared" si="21"/>
        <v>35917</v>
      </c>
      <c r="D92" s="117">
        <f t="shared" si="22"/>
        <v>19543</v>
      </c>
      <c r="E92" s="297">
        <f t="shared" si="23"/>
        <v>39779</v>
      </c>
      <c r="F92" s="116">
        <f t="shared" si="15"/>
        <v>55460</v>
      </c>
      <c r="G92" s="117">
        <f t="shared" si="16"/>
        <v>0</v>
      </c>
      <c r="H92" s="116">
        <f t="shared" ref="H92:H155" si="24">F92+G92</f>
        <v>55460</v>
      </c>
      <c r="I92" s="116">
        <f t="shared" si="17"/>
        <v>55785</v>
      </c>
      <c r="J92" s="119">
        <f t="shared" si="18"/>
        <v>60598</v>
      </c>
      <c r="K92" s="119">
        <f t="shared" si="19"/>
        <v>65996</v>
      </c>
      <c r="L92" s="110"/>
      <c r="M92" s="110"/>
      <c r="N92" s="110"/>
      <c r="O92" s="110"/>
      <c r="P92" s="110"/>
      <c r="Q92" s="110"/>
      <c r="R92" s="110"/>
    </row>
    <row r="93" spans="1:256" x14ac:dyDescent="0.3">
      <c r="A93" s="109">
        <v>68</v>
      </c>
      <c r="B93" s="58">
        <f t="shared" si="20"/>
        <v>7745310</v>
      </c>
      <c r="C93" s="116">
        <f t="shared" si="21"/>
        <v>36007</v>
      </c>
      <c r="D93" s="117">
        <f t="shared" si="22"/>
        <v>19453</v>
      </c>
      <c r="E93" s="297">
        <f t="shared" si="23"/>
        <v>39779</v>
      </c>
      <c r="F93" s="116">
        <f t="shared" si="15"/>
        <v>55460</v>
      </c>
      <c r="G93" s="117">
        <f t="shared" si="16"/>
        <v>0</v>
      </c>
      <c r="H93" s="116">
        <f t="shared" si="24"/>
        <v>55460</v>
      </c>
      <c r="I93" s="116">
        <f t="shared" si="17"/>
        <v>55785</v>
      </c>
      <c r="J93" s="119">
        <f t="shared" si="18"/>
        <v>60598</v>
      </c>
      <c r="K93" s="119">
        <f t="shared" si="19"/>
        <v>65996</v>
      </c>
      <c r="L93" s="110"/>
      <c r="M93" s="110"/>
      <c r="N93" s="110"/>
      <c r="O93" s="110"/>
      <c r="P93" s="110"/>
      <c r="Q93" s="110"/>
      <c r="R93" s="110"/>
    </row>
    <row r="94" spans="1:256" x14ac:dyDescent="0.3">
      <c r="A94" s="109">
        <v>69</v>
      </c>
      <c r="B94" s="58">
        <f t="shared" si="20"/>
        <v>7709213</v>
      </c>
      <c r="C94" s="116">
        <f t="shared" si="21"/>
        <v>36097</v>
      </c>
      <c r="D94" s="117">
        <f t="shared" si="22"/>
        <v>19363</v>
      </c>
      <c r="E94" s="297">
        <f t="shared" si="23"/>
        <v>39779</v>
      </c>
      <c r="F94" s="116">
        <f t="shared" si="15"/>
        <v>55460</v>
      </c>
      <c r="G94" s="117">
        <f t="shared" si="16"/>
        <v>0</v>
      </c>
      <c r="H94" s="116">
        <f t="shared" si="24"/>
        <v>55460</v>
      </c>
      <c r="I94" s="116">
        <f t="shared" si="17"/>
        <v>55785</v>
      </c>
      <c r="J94" s="119">
        <f t="shared" si="18"/>
        <v>60598</v>
      </c>
      <c r="K94" s="119">
        <f t="shared" si="19"/>
        <v>65996</v>
      </c>
      <c r="L94" s="110"/>
      <c r="M94" s="110"/>
      <c r="N94" s="110"/>
      <c r="O94" s="110"/>
      <c r="P94" s="110"/>
      <c r="Q94" s="110"/>
      <c r="R94" s="110"/>
    </row>
    <row r="95" spans="1:256" x14ac:dyDescent="0.3">
      <c r="A95" s="109">
        <v>70</v>
      </c>
      <c r="B95" s="58">
        <f t="shared" si="20"/>
        <v>7673026</v>
      </c>
      <c r="C95" s="116">
        <f t="shared" si="21"/>
        <v>36187</v>
      </c>
      <c r="D95" s="117">
        <f t="shared" si="22"/>
        <v>19273</v>
      </c>
      <c r="E95" s="297">
        <f t="shared" si="23"/>
        <v>39779</v>
      </c>
      <c r="F95" s="116">
        <f t="shared" si="15"/>
        <v>55460</v>
      </c>
      <c r="G95" s="117">
        <f t="shared" si="16"/>
        <v>0</v>
      </c>
      <c r="H95" s="116">
        <f t="shared" si="24"/>
        <v>55460</v>
      </c>
      <c r="I95" s="116">
        <f t="shared" si="17"/>
        <v>55785</v>
      </c>
      <c r="J95" s="119">
        <f t="shared" si="18"/>
        <v>60598</v>
      </c>
      <c r="K95" s="119">
        <f t="shared" si="19"/>
        <v>65996</v>
      </c>
      <c r="L95" s="110"/>
      <c r="M95" s="110"/>
      <c r="N95" s="110"/>
      <c r="O95" s="110"/>
      <c r="P95" s="110"/>
      <c r="Q95" s="110"/>
      <c r="R95" s="110"/>
    </row>
    <row r="96" spans="1:256" x14ac:dyDescent="0.3">
      <c r="A96" s="109">
        <v>71</v>
      </c>
      <c r="B96" s="58">
        <f t="shared" si="20"/>
        <v>7636749</v>
      </c>
      <c r="C96" s="116">
        <f t="shared" si="21"/>
        <v>36277</v>
      </c>
      <c r="D96" s="117">
        <f t="shared" si="22"/>
        <v>19183</v>
      </c>
      <c r="E96" s="297">
        <f t="shared" si="23"/>
        <v>39779</v>
      </c>
      <c r="F96" s="116">
        <f t="shared" si="15"/>
        <v>55460</v>
      </c>
      <c r="G96" s="117">
        <f t="shared" si="16"/>
        <v>0</v>
      </c>
      <c r="H96" s="116">
        <f t="shared" si="24"/>
        <v>55460</v>
      </c>
      <c r="I96" s="116">
        <f t="shared" si="17"/>
        <v>55785</v>
      </c>
      <c r="J96" s="119">
        <f t="shared" si="18"/>
        <v>60598</v>
      </c>
      <c r="K96" s="119">
        <f t="shared" si="19"/>
        <v>65996</v>
      </c>
      <c r="L96" s="110"/>
      <c r="M96" s="110"/>
      <c r="N96" s="110"/>
      <c r="O96" s="110"/>
      <c r="P96" s="110"/>
      <c r="Q96" s="110"/>
      <c r="R96" s="110"/>
    </row>
    <row r="97" spans="1:23" x14ac:dyDescent="0.3">
      <c r="A97" s="109">
        <v>72</v>
      </c>
      <c r="B97" s="58">
        <f t="shared" si="20"/>
        <v>7600381</v>
      </c>
      <c r="C97" s="116">
        <f t="shared" si="21"/>
        <v>36368</v>
      </c>
      <c r="D97" s="117">
        <f t="shared" si="22"/>
        <v>19092</v>
      </c>
      <c r="E97" s="297">
        <f t="shared" si="23"/>
        <v>39779</v>
      </c>
      <c r="F97" s="116">
        <f t="shared" si="15"/>
        <v>55460</v>
      </c>
      <c r="G97" s="117">
        <f t="shared" si="16"/>
        <v>0</v>
      </c>
      <c r="H97" s="116">
        <f t="shared" si="24"/>
        <v>55460</v>
      </c>
      <c r="I97" s="116">
        <f t="shared" si="17"/>
        <v>55785</v>
      </c>
      <c r="J97" s="119">
        <f t="shared" si="18"/>
        <v>60598</v>
      </c>
      <c r="K97" s="119">
        <f t="shared" si="19"/>
        <v>65996</v>
      </c>
      <c r="L97" s="58">
        <f t="shared" ref="L97:Q97" si="25">SUM(C86:C97)</f>
        <v>430481</v>
      </c>
      <c r="M97" s="58">
        <f t="shared" si="25"/>
        <v>235039</v>
      </c>
      <c r="N97" s="58">
        <f t="shared" si="25"/>
        <v>477348</v>
      </c>
      <c r="O97" s="58">
        <f t="shared" si="25"/>
        <v>665520</v>
      </c>
      <c r="P97" s="58">
        <f t="shared" si="25"/>
        <v>0</v>
      </c>
      <c r="Q97" s="58">
        <f t="shared" si="25"/>
        <v>665520</v>
      </c>
      <c r="R97" s="58">
        <f>SUM(J86:J97)</f>
        <v>727176</v>
      </c>
      <c r="S97" s="29">
        <f>SUM(K86:K97)</f>
        <v>791952</v>
      </c>
      <c r="T97" s="29"/>
      <c r="U97" s="29"/>
      <c r="V97" s="29"/>
      <c r="W97" s="29"/>
    </row>
    <row r="98" spans="1:23" x14ac:dyDescent="0.3">
      <c r="A98" s="109">
        <v>73</v>
      </c>
      <c r="B98" s="58">
        <f t="shared" si="20"/>
        <v>7563922</v>
      </c>
      <c r="C98" s="116">
        <f t="shared" si="21"/>
        <v>36459</v>
      </c>
      <c r="D98" s="117">
        <f t="shared" si="22"/>
        <v>19001</v>
      </c>
      <c r="E98" s="297">
        <f t="shared" si="23"/>
        <v>39779</v>
      </c>
      <c r="F98" s="116">
        <f t="shared" si="15"/>
        <v>55460</v>
      </c>
      <c r="G98" s="117">
        <f t="shared" si="16"/>
        <v>0</v>
      </c>
      <c r="H98" s="116">
        <f t="shared" si="24"/>
        <v>55460</v>
      </c>
      <c r="I98" s="116">
        <f t="shared" si="17"/>
        <v>55785</v>
      </c>
      <c r="J98" s="119">
        <f t="shared" si="18"/>
        <v>60598</v>
      </c>
      <c r="K98" s="119">
        <f t="shared" si="19"/>
        <v>65996</v>
      </c>
      <c r="L98" s="110"/>
      <c r="M98" s="110"/>
      <c r="N98" s="110"/>
      <c r="O98" s="110"/>
      <c r="P98" s="110"/>
      <c r="Q98" s="110"/>
      <c r="R98" s="110"/>
    </row>
    <row r="99" spans="1:23" x14ac:dyDescent="0.3">
      <c r="A99" s="109">
        <v>74</v>
      </c>
      <c r="B99" s="58">
        <f t="shared" si="20"/>
        <v>7527372</v>
      </c>
      <c r="C99" s="116">
        <f t="shared" si="21"/>
        <v>36550</v>
      </c>
      <c r="D99" s="117">
        <f t="shared" si="22"/>
        <v>18910</v>
      </c>
      <c r="E99" s="297">
        <f t="shared" si="23"/>
        <v>39779</v>
      </c>
      <c r="F99" s="116">
        <f t="shared" si="15"/>
        <v>55460</v>
      </c>
      <c r="G99" s="117">
        <f t="shared" si="16"/>
        <v>0</v>
      </c>
      <c r="H99" s="116">
        <f t="shared" si="24"/>
        <v>55460</v>
      </c>
      <c r="I99" s="116">
        <f t="shared" si="17"/>
        <v>55785</v>
      </c>
      <c r="J99" s="119">
        <f t="shared" si="18"/>
        <v>60598</v>
      </c>
      <c r="K99" s="119">
        <f t="shared" si="19"/>
        <v>65996</v>
      </c>
      <c r="L99" s="110"/>
      <c r="M99" s="110"/>
      <c r="N99" s="110"/>
      <c r="O99" s="110"/>
      <c r="P99" s="110"/>
      <c r="Q99" s="110"/>
      <c r="R99" s="110"/>
    </row>
    <row r="100" spans="1:23" x14ac:dyDescent="0.3">
      <c r="A100" s="109">
        <v>75</v>
      </c>
      <c r="B100" s="58">
        <f t="shared" si="20"/>
        <v>7490730</v>
      </c>
      <c r="C100" s="116">
        <f t="shared" si="21"/>
        <v>36642</v>
      </c>
      <c r="D100" s="117">
        <f t="shared" si="22"/>
        <v>18818</v>
      </c>
      <c r="E100" s="297">
        <f t="shared" si="23"/>
        <v>39779</v>
      </c>
      <c r="F100" s="116">
        <f t="shared" si="15"/>
        <v>55460</v>
      </c>
      <c r="G100" s="117">
        <f t="shared" si="16"/>
        <v>0</v>
      </c>
      <c r="H100" s="116">
        <f t="shared" si="24"/>
        <v>55460</v>
      </c>
      <c r="I100" s="116">
        <f t="shared" si="17"/>
        <v>55785</v>
      </c>
      <c r="J100" s="119">
        <f t="shared" si="18"/>
        <v>60598</v>
      </c>
      <c r="K100" s="119">
        <f t="shared" si="19"/>
        <v>65996</v>
      </c>
      <c r="L100" s="110"/>
      <c r="M100" s="110"/>
      <c r="N100" s="110"/>
      <c r="O100" s="110"/>
      <c r="P100" s="110"/>
      <c r="Q100" s="110"/>
      <c r="R100" s="110"/>
    </row>
    <row r="101" spans="1:23" x14ac:dyDescent="0.3">
      <c r="A101" s="109">
        <v>76</v>
      </c>
      <c r="B101" s="58">
        <f t="shared" si="20"/>
        <v>7453997</v>
      </c>
      <c r="C101" s="116">
        <f t="shared" si="21"/>
        <v>36733</v>
      </c>
      <c r="D101" s="117">
        <f t="shared" si="22"/>
        <v>18727</v>
      </c>
      <c r="E101" s="297">
        <f t="shared" si="23"/>
        <v>39779</v>
      </c>
      <c r="F101" s="116">
        <f t="shared" si="15"/>
        <v>55460</v>
      </c>
      <c r="G101" s="117">
        <f t="shared" si="16"/>
        <v>0</v>
      </c>
      <c r="H101" s="116">
        <f t="shared" si="24"/>
        <v>55460</v>
      </c>
      <c r="I101" s="116">
        <f t="shared" si="17"/>
        <v>55785</v>
      </c>
      <c r="J101" s="119">
        <f t="shared" si="18"/>
        <v>60598</v>
      </c>
      <c r="K101" s="119">
        <f t="shared" si="19"/>
        <v>65996</v>
      </c>
      <c r="L101" s="110"/>
      <c r="M101" s="110"/>
      <c r="N101" s="110"/>
      <c r="O101" s="110"/>
      <c r="P101" s="110"/>
      <c r="Q101" s="110"/>
      <c r="R101" s="110"/>
    </row>
    <row r="102" spans="1:23" x14ac:dyDescent="0.3">
      <c r="A102" s="109">
        <v>77</v>
      </c>
      <c r="B102" s="58">
        <f t="shared" si="20"/>
        <v>7417172</v>
      </c>
      <c r="C102" s="116">
        <f t="shared" si="21"/>
        <v>36825</v>
      </c>
      <c r="D102" s="117">
        <f t="shared" si="22"/>
        <v>18635</v>
      </c>
      <c r="E102" s="297">
        <f t="shared" si="23"/>
        <v>39779</v>
      </c>
      <c r="F102" s="116">
        <f t="shared" si="15"/>
        <v>55460</v>
      </c>
      <c r="G102" s="117">
        <f t="shared" si="16"/>
        <v>0</v>
      </c>
      <c r="H102" s="116">
        <f t="shared" si="24"/>
        <v>55460</v>
      </c>
      <c r="I102" s="116">
        <f t="shared" si="17"/>
        <v>55785</v>
      </c>
      <c r="J102" s="119">
        <f t="shared" si="18"/>
        <v>60598</v>
      </c>
      <c r="K102" s="119">
        <f t="shared" si="19"/>
        <v>65996</v>
      </c>
      <c r="L102" s="110"/>
      <c r="M102" s="110"/>
      <c r="N102" s="110"/>
      <c r="O102" s="110"/>
      <c r="P102" s="110"/>
      <c r="Q102" s="110"/>
      <c r="R102" s="110"/>
    </row>
    <row r="103" spans="1:23" x14ac:dyDescent="0.3">
      <c r="A103" s="109">
        <v>78</v>
      </c>
      <c r="B103" s="58">
        <f t="shared" si="20"/>
        <v>7380255</v>
      </c>
      <c r="C103" s="116">
        <f t="shared" si="21"/>
        <v>36917</v>
      </c>
      <c r="D103" s="117">
        <f t="shared" si="22"/>
        <v>18543</v>
      </c>
      <c r="E103" s="297">
        <f t="shared" si="23"/>
        <v>39779</v>
      </c>
      <c r="F103" s="116">
        <f t="shared" si="15"/>
        <v>55460</v>
      </c>
      <c r="G103" s="117">
        <f t="shared" si="16"/>
        <v>0</v>
      </c>
      <c r="H103" s="116">
        <f t="shared" si="24"/>
        <v>55460</v>
      </c>
      <c r="I103" s="116">
        <f t="shared" si="17"/>
        <v>55785</v>
      </c>
      <c r="J103" s="119">
        <f t="shared" si="18"/>
        <v>60598</v>
      </c>
      <c r="K103" s="119">
        <f t="shared" si="19"/>
        <v>65996</v>
      </c>
      <c r="L103" s="110"/>
      <c r="M103" s="110"/>
      <c r="N103" s="110"/>
      <c r="O103" s="110"/>
      <c r="P103" s="110"/>
      <c r="Q103" s="110"/>
      <c r="R103" s="110"/>
    </row>
    <row r="104" spans="1:23" x14ac:dyDescent="0.3">
      <c r="A104" s="109">
        <v>79</v>
      </c>
      <c r="B104" s="58">
        <f t="shared" si="20"/>
        <v>7343246</v>
      </c>
      <c r="C104" s="116">
        <f t="shared" si="21"/>
        <v>37009</v>
      </c>
      <c r="D104" s="117">
        <f t="shared" si="22"/>
        <v>18451</v>
      </c>
      <c r="E104" s="297">
        <f t="shared" si="23"/>
        <v>39779</v>
      </c>
      <c r="F104" s="116">
        <f t="shared" si="15"/>
        <v>55460</v>
      </c>
      <c r="G104" s="117">
        <f t="shared" si="16"/>
        <v>0</v>
      </c>
      <c r="H104" s="116">
        <f t="shared" si="24"/>
        <v>55460</v>
      </c>
      <c r="I104" s="116">
        <f t="shared" si="17"/>
        <v>55785</v>
      </c>
      <c r="J104" s="119">
        <f t="shared" si="18"/>
        <v>60598</v>
      </c>
      <c r="K104" s="119">
        <f t="shared" si="19"/>
        <v>65996</v>
      </c>
      <c r="L104" s="110"/>
      <c r="M104" s="110"/>
      <c r="N104" s="110"/>
      <c r="O104" s="110"/>
      <c r="P104" s="110"/>
      <c r="Q104" s="110"/>
      <c r="R104" s="110"/>
    </row>
    <row r="105" spans="1:23" x14ac:dyDescent="0.3">
      <c r="A105" s="109">
        <v>80</v>
      </c>
      <c r="B105" s="58">
        <f t="shared" si="20"/>
        <v>7306144</v>
      </c>
      <c r="C105" s="116">
        <f t="shared" si="21"/>
        <v>37102</v>
      </c>
      <c r="D105" s="117">
        <f t="shared" si="22"/>
        <v>18358</v>
      </c>
      <c r="E105" s="297">
        <f t="shared" si="23"/>
        <v>39779</v>
      </c>
      <c r="F105" s="116">
        <f t="shared" si="15"/>
        <v>55460</v>
      </c>
      <c r="G105" s="117">
        <f t="shared" si="16"/>
        <v>0</v>
      </c>
      <c r="H105" s="116">
        <f t="shared" si="24"/>
        <v>55460</v>
      </c>
      <c r="I105" s="116">
        <f t="shared" si="17"/>
        <v>55785</v>
      </c>
      <c r="J105" s="119">
        <f t="shared" si="18"/>
        <v>60598</v>
      </c>
      <c r="K105" s="119">
        <f t="shared" si="19"/>
        <v>65996</v>
      </c>
      <c r="L105" s="110"/>
      <c r="M105" s="110"/>
      <c r="N105" s="110"/>
      <c r="O105" s="110"/>
      <c r="P105" s="110"/>
      <c r="Q105" s="110"/>
      <c r="R105" s="110"/>
    </row>
    <row r="106" spans="1:23" x14ac:dyDescent="0.3">
      <c r="A106" s="109">
        <v>81</v>
      </c>
      <c r="B106" s="58">
        <f t="shared" si="20"/>
        <v>7268949</v>
      </c>
      <c r="C106" s="116">
        <f t="shared" si="21"/>
        <v>37195</v>
      </c>
      <c r="D106" s="117">
        <f t="shared" si="22"/>
        <v>18265</v>
      </c>
      <c r="E106" s="297">
        <f t="shared" si="23"/>
        <v>39779</v>
      </c>
      <c r="F106" s="116">
        <f t="shared" si="15"/>
        <v>55460</v>
      </c>
      <c r="G106" s="117">
        <f t="shared" si="16"/>
        <v>0</v>
      </c>
      <c r="H106" s="116">
        <f t="shared" si="24"/>
        <v>55460</v>
      </c>
      <c r="I106" s="116">
        <f t="shared" si="17"/>
        <v>55785</v>
      </c>
      <c r="J106" s="119">
        <f t="shared" si="18"/>
        <v>60598</v>
      </c>
      <c r="K106" s="119">
        <f t="shared" si="19"/>
        <v>65996</v>
      </c>
      <c r="L106" s="110"/>
      <c r="M106" s="110"/>
      <c r="N106" s="110"/>
      <c r="O106" s="110"/>
      <c r="P106" s="110"/>
      <c r="Q106" s="110"/>
      <c r="R106" s="110"/>
    </row>
    <row r="107" spans="1:23" x14ac:dyDescent="0.3">
      <c r="A107" s="109">
        <v>82</v>
      </c>
      <c r="B107" s="58">
        <f t="shared" si="20"/>
        <v>7231661</v>
      </c>
      <c r="C107" s="116">
        <f t="shared" si="21"/>
        <v>37288</v>
      </c>
      <c r="D107" s="117">
        <f t="shared" si="22"/>
        <v>18172</v>
      </c>
      <c r="E107" s="297">
        <f t="shared" si="23"/>
        <v>39779</v>
      </c>
      <c r="F107" s="116">
        <f t="shared" si="15"/>
        <v>55460</v>
      </c>
      <c r="G107" s="117">
        <f t="shared" si="16"/>
        <v>0</v>
      </c>
      <c r="H107" s="116">
        <f t="shared" si="24"/>
        <v>55460</v>
      </c>
      <c r="I107" s="116">
        <f t="shared" si="17"/>
        <v>55785</v>
      </c>
      <c r="J107" s="119">
        <f t="shared" si="18"/>
        <v>60598</v>
      </c>
      <c r="K107" s="119">
        <f t="shared" si="19"/>
        <v>65996</v>
      </c>
      <c r="L107" s="110"/>
      <c r="M107" s="110"/>
      <c r="N107" s="110"/>
      <c r="O107" s="110"/>
      <c r="P107" s="110"/>
      <c r="Q107" s="110"/>
      <c r="R107" s="110"/>
    </row>
    <row r="108" spans="1:23" x14ac:dyDescent="0.3">
      <c r="A108" s="109">
        <v>83</v>
      </c>
      <c r="B108" s="58">
        <f t="shared" si="20"/>
        <v>7194280</v>
      </c>
      <c r="C108" s="116">
        <f t="shared" si="21"/>
        <v>37381</v>
      </c>
      <c r="D108" s="117">
        <f t="shared" si="22"/>
        <v>18079</v>
      </c>
      <c r="E108" s="297">
        <f t="shared" si="23"/>
        <v>39779</v>
      </c>
      <c r="F108" s="116">
        <f t="shared" si="15"/>
        <v>55460</v>
      </c>
      <c r="G108" s="117">
        <f t="shared" si="16"/>
        <v>0</v>
      </c>
      <c r="H108" s="116">
        <f t="shared" si="24"/>
        <v>55460</v>
      </c>
      <c r="I108" s="116">
        <f t="shared" si="17"/>
        <v>55785</v>
      </c>
      <c r="J108" s="119">
        <f t="shared" si="18"/>
        <v>60598</v>
      </c>
      <c r="K108" s="119">
        <f t="shared" si="19"/>
        <v>65996</v>
      </c>
      <c r="L108" s="110"/>
      <c r="M108" s="110"/>
      <c r="N108" s="110"/>
      <c r="O108" s="110"/>
      <c r="P108" s="110"/>
      <c r="Q108" s="110"/>
      <c r="R108" s="110"/>
    </row>
    <row r="109" spans="1:23" x14ac:dyDescent="0.3">
      <c r="A109" s="109">
        <v>84</v>
      </c>
      <c r="B109" s="58">
        <f t="shared" si="20"/>
        <v>7156806</v>
      </c>
      <c r="C109" s="116">
        <f t="shared" si="21"/>
        <v>37474</v>
      </c>
      <c r="D109" s="117">
        <f t="shared" si="22"/>
        <v>17986</v>
      </c>
      <c r="E109" s="297">
        <f t="shared" si="23"/>
        <v>39779</v>
      </c>
      <c r="F109" s="116">
        <f t="shared" si="15"/>
        <v>55460</v>
      </c>
      <c r="G109" s="117">
        <f t="shared" si="16"/>
        <v>0</v>
      </c>
      <c r="H109" s="116">
        <f t="shared" si="24"/>
        <v>55460</v>
      </c>
      <c r="I109" s="116">
        <f t="shared" si="17"/>
        <v>55785</v>
      </c>
      <c r="J109" s="119">
        <f t="shared" si="18"/>
        <v>60598</v>
      </c>
      <c r="K109" s="119">
        <f t="shared" si="19"/>
        <v>65996</v>
      </c>
      <c r="L109" s="58">
        <f t="shared" ref="L109:Q109" si="26">SUM(C98:C109)</f>
        <v>443575</v>
      </c>
      <c r="M109" s="58">
        <f t="shared" si="26"/>
        <v>221945</v>
      </c>
      <c r="N109" s="58">
        <f t="shared" si="26"/>
        <v>477348</v>
      </c>
      <c r="O109" s="58">
        <f t="shared" si="26"/>
        <v>665520</v>
      </c>
      <c r="P109" s="58">
        <f t="shared" si="26"/>
        <v>0</v>
      </c>
      <c r="Q109" s="58">
        <f t="shared" si="26"/>
        <v>665520</v>
      </c>
      <c r="R109" s="58">
        <f>SUM(J98:J109)</f>
        <v>727176</v>
      </c>
      <c r="S109" s="29">
        <f>SUM(K98:K109)</f>
        <v>791952</v>
      </c>
      <c r="T109" s="29"/>
      <c r="U109" s="29"/>
      <c r="V109" s="29"/>
      <c r="W109" s="29"/>
    </row>
    <row r="110" spans="1:23" x14ac:dyDescent="0.3">
      <c r="A110" s="109">
        <v>85</v>
      </c>
      <c r="B110" s="58">
        <f t="shared" si="20"/>
        <v>7119238</v>
      </c>
      <c r="C110" s="116">
        <f t="shared" si="21"/>
        <v>37568</v>
      </c>
      <c r="D110" s="117">
        <f t="shared" si="22"/>
        <v>17892</v>
      </c>
      <c r="E110" s="297">
        <f t="shared" si="23"/>
        <v>39779</v>
      </c>
      <c r="F110" s="116">
        <f t="shared" si="15"/>
        <v>55460</v>
      </c>
      <c r="G110" s="117">
        <f t="shared" si="16"/>
        <v>0</v>
      </c>
      <c r="H110" s="116">
        <f t="shared" si="24"/>
        <v>55460</v>
      </c>
      <c r="I110" s="116">
        <f t="shared" si="17"/>
        <v>55785</v>
      </c>
      <c r="J110" s="119">
        <f t="shared" si="18"/>
        <v>60598</v>
      </c>
      <c r="K110" s="119">
        <f t="shared" si="19"/>
        <v>65996</v>
      </c>
      <c r="L110" s="110"/>
      <c r="M110" s="110"/>
      <c r="N110" s="110"/>
      <c r="O110" s="110"/>
      <c r="P110" s="110"/>
      <c r="Q110" s="110"/>
      <c r="R110" s="110"/>
    </row>
    <row r="111" spans="1:23" x14ac:dyDescent="0.3">
      <c r="A111" s="109">
        <v>86</v>
      </c>
      <c r="B111" s="58">
        <f t="shared" si="20"/>
        <v>7081576</v>
      </c>
      <c r="C111" s="116">
        <f t="shared" si="21"/>
        <v>37662</v>
      </c>
      <c r="D111" s="117">
        <f t="shared" si="22"/>
        <v>17798</v>
      </c>
      <c r="E111" s="297">
        <f t="shared" si="23"/>
        <v>39779</v>
      </c>
      <c r="F111" s="116">
        <f t="shared" si="15"/>
        <v>55460</v>
      </c>
      <c r="G111" s="117">
        <f t="shared" si="16"/>
        <v>0</v>
      </c>
      <c r="H111" s="116">
        <f t="shared" si="24"/>
        <v>55460</v>
      </c>
      <c r="I111" s="116">
        <f t="shared" si="17"/>
        <v>55785</v>
      </c>
      <c r="J111" s="119">
        <f t="shared" si="18"/>
        <v>60598</v>
      </c>
      <c r="K111" s="119">
        <f t="shared" si="19"/>
        <v>65996</v>
      </c>
      <c r="L111" s="110"/>
      <c r="M111" s="110"/>
      <c r="N111" s="110"/>
      <c r="O111" s="110"/>
      <c r="P111" s="110"/>
      <c r="Q111" s="110"/>
      <c r="R111" s="110"/>
    </row>
    <row r="112" spans="1:23" x14ac:dyDescent="0.3">
      <c r="A112" s="109">
        <v>87</v>
      </c>
      <c r="B112" s="58">
        <f t="shared" si="20"/>
        <v>7043820</v>
      </c>
      <c r="C112" s="116">
        <f t="shared" si="21"/>
        <v>37756</v>
      </c>
      <c r="D112" s="117">
        <f t="shared" si="22"/>
        <v>17704</v>
      </c>
      <c r="E112" s="297">
        <f t="shared" si="23"/>
        <v>39779</v>
      </c>
      <c r="F112" s="116">
        <f t="shared" si="15"/>
        <v>55460</v>
      </c>
      <c r="G112" s="117">
        <f t="shared" si="16"/>
        <v>0</v>
      </c>
      <c r="H112" s="116">
        <f t="shared" si="24"/>
        <v>55460</v>
      </c>
      <c r="I112" s="116">
        <f t="shared" si="17"/>
        <v>55785</v>
      </c>
      <c r="J112" s="119">
        <f t="shared" si="18"/>
        <v>60598</v>
      </c>
      <c r="K112" s="119">
        <f t="shared" si="19"/>
        <v>65996</v>
      </c>
      <c r="L112" s="110"/>
      <c r="M112" s="110"/>
      <c r="N112" s="110"/>
      <c r="O112" s="110"/>
      <c r="P112" s="110"/>
      <c r="Q112" s="110"/>
      <c r="R112" s="110"/>
    </row>
    <row r="113" spans="1:23" x14ac:dyDescent="0.3">
      <c r="A113" s="109">
        <v>88</v>
      </c>
      <c r="B113" s="58">
        <f t="shared" si="20"/>
        <v>7005970</v>
      </c>
      <c r="C113" s="116">
        <f t="shared" si="21"/>
        <v>37850</v>
      </c>
      <c r="D113" s="117">
        <f t="shared" si="22"/>
        <v>17610</v>
      </c>
      <c r="E113" s="297">
        <f t="shared" si="23"/>
        <v>39779</v>
      </c>
      <c r="F113" s="116">
        <f t="shared" si="15"/>
        <v>55460</v>
      </c>
      <c r="G113" s="117">
        <f t="shared" si="16"/>
        <v>0</v>
      </c>
      <c r="H113" s="116">
        <f t="shared" si="24"/>
        <v>55460</v>
      </c>
      <c r="I113" s="116">
        <f t="shared" si="17"/>
        <v>55785</v>
      </c>
      <c r="J113" s="119">
        <f t="shared" si="18"/>
        <v>60598</v>
      </c>
      <c r="K113" s="119">
        <f t="shared" si="19"/>
        <v>65996</v>
      </c>
      <c r="L113" s="110"/>
      <c r="M113" s="110"/>
      <c r="N113" s="110"/>
      <c r="O113" s="110"/>
      <c r="P113" s="110"/>
      <c r="Q113" s="110"/>
      <c r="R113" s="110"/>
    </row>
    <row r="114" spans="1:23" x14ac:dyDescent="0.3">
      <c r="A114" s="109">
        <v>89</v>
      </c>
      <c r="B114" s="58">
        <f t="shared" si="20"/>
        <v>6968025</v>
      </c>
      <c r="C114" s="116">
        <f t="shared" si="21"/>
        <v>37945</v>
      </c>
      <c r="D114" s="117">
        <f t="shared" si="22"/>
        <v>17515</v>
      </c>
      <c r="E114" s="297">
        <f t="shared" si="23"/>
        <v>39779</v>
      </c>
      <c r="F114" s="116">
        <f t="shared" si="15"/>
        <v>55460</v>
      </c>
      <c r="G114" s="117">
        <f t="shared" si="16"/>
        <v>0</v>
      </c>
      <c r="H114" s="116">
        <f t="shared" si="24"/>
        <v>55460</v>
      </c>
      <c r="I114" s="116">
        <f t="shared" si="17"/>
        <v>55785</v>
      </c>
      <c r="J114" s="119">
        <f t="shared" si="18"/>
        <v>60598</v>
      </c>
      <c r="K114" s="119">
        <f t="shared" si="19"/>
        <v>65996</v>
      </c>
      <c r="L114" s="110"/>
      <c r="M114" s="110"/>
      <c r="N114" s="110"/>
      <c r="O114" s="110"/>
      <c r="P114" s="110"/>
      <c r="Q114" s="110"/>
      <c r="R114" s="110"/>
    </row>
    <row r="115" spans="1:23" x14ac:dyDescent="0.3">
      <c r="A115" s="109">
        <v>90</v>
      </c>
      <c r="B115" s="58">
        <f t="shared" si="20"/>
        <v>6929985</v>
      </c>
      <c r="C115" s="116">
        <f t="shared" si="21"/>
        <v>38040</v>
      </c>
      <c r="D115" s="117">
        <f t="shared" si="22"/>
        <v>17420</v>
      </c>
      <c r="E115" s="297">
        <f t="shared" si="23"/>
        <v>39779</v>
      </c>
      <c r="F115" s="116">
        <f t="shared" si="15"/>
        <v>55460</v>
      </c>
      <c r="G115" s="117">
        <f t="shared" si="16"/>
        <v>0</v>
      </c>
      <c r="H115" s="116">
        <f t="shared" si="24"/>
        <v>55460</v>
      </c>
      <c r="I115" s="116">
        <f t="shared" si="17"/>
        <v>55785</v>
      </c>
      <c r="J115" s="119">
        <f t="shared" si="18"/>
        <v>60598</v>
      </c>
      <c r="K115" s="119">
        <f t="shared" si="19"/>
        <v>65996</v>
      </c>
      <c r="L115" s="110"/>
      <c r="M115" s="110"/>
      <c r="N115" s="110"/>
      <c r="O115" s="110"/>
      <c r="P115" s="110"/>
      <c r="Q115" s="110"/>
      <c r="R115" s="110"/>
    </row>
    <row r="116" spans="1:23" x14ac:dyDescent="0.3">
      <c r="A116" s="109">
        <v>91</v>
      </c>
      <c r="B116" s="58">
        <f t="shared" si="20"/>
        <v>6891850</v>
      </c>
      <c r="C116" s="116">
        <f t="shared" si="21"/>
        <v>38135</v>
      </c>
      <c r="D116" s="117">
        <f t="shared" si="22"/>
        <v>17325</v>
      </c>
      <c r="E116" s="297">
        <f t="shared" si="23"/>
        <v>39779</v>
      </c>
      <c r="F116" s="116">
        <f t="shared" si="15"/>
        <v>55460</v>
      </c>
      <c r="G116" s="117">
        <f t="shared" si="16"/>
        <v>0</v>
      </c>
      <c r="H116" s="116">
        <f t="shared" si="24"/>
        <v>55460</v>
      </c>
      <c r="I116" s="116">
        <f t="shared" si="17"/>
        <v>55785</v>
      </c>
      <c r="J116" s="119">
        <f t="shared" si="18"/>
        <v>60598</v>
      </c>
      <c r="K116" s="119">
        <f t="shared" si="19"/>
        <v>65996</v>
      </c>
      <c r="L116" s="110"/>
      <c r="M116" s="110"/>
      <c r="N116" s="110"/>
      <c r="O116" s="110"/>
      <c r="P116" s="110"/>
      <c r="Q116" s="110"/>
      <c r="R116" s="110"/>
    </row>
    <row r="117" spans="1:23" x14ac:dyDescent="0.3">
      <c r="A117" s="109">
        <v>92</v>
      </c>
      <c r="B117" s="58">
        <f t="shared" si="20"/>
        <v>6853620</v>
      </c>
      <c r="C117" s="116">
        <f t="shared" si="21"/>
        <v>38230</v>
      </c>
      <c r="D117" s="117">
        <f t="shared" si="22"/>
        <v>17230</v>
      </c>
      <c r="E117" s="297">
        <f t="shared" si="23"/>
        <v>39779</v>
      </c>
      <c r="F117" s="116">
        <f t="shared" si="15"/>
        <v>55460</v>
      </c>
      <c r="G117" s="117">
        <f t="shared" si="16"/>
        <v>0</v>
      </c>
      <c r="H117" s="116">
        <f t="shared" si="24"/>
        <v>55460</v>
      </c>
      <c r="I117" s="116">
        <f t="shared" si="17"/>
        <v>55785</v>
      </c>
      <c r="J117" s="119">
        <f t="shared" si="18"/>
        <v>60598</v>
      </c>
      <c r="K117" s="119">
        <f t="shared" si="19"/>
        <v>65996</v>
      </c>
      <c r="L117" s="110"/>
      <c r="M117" s="110"/>
      <c r="N117" s="110"/>
      <c r="O117" s="110"/>
      <c r="P117" s="110"/>
      <c r="Q117" s="110"/>
      <c r="R117" s="110"/>
    </row>
    <row r="118" spans="1:23" x14ac:dyDescent="0.3">
      <c r="A118" s="109">
        <v>93</v>
      </c>
      <c r="B118" s="58">
        <f t="shared" si="20"/>
        <v>6815294</v>
      </c>
      <c r="C118" s="116">
        <f t="shared" si="21"/>
        <v>38326</v>
      </c>
      <c r="D118" s="117">
        <f t="shared" si="22"/>
        <v>17134</v>
      </c>
      <c r="E118" s="297">
        <f t="shared" si="23"/>
        <v>39779</v>
      </c>
      <c r="F118" s="116">
        <f t="shared" si="15"/>
        <v>55460</v>
      </c>
      <c r="G118" s="117">
        <f t="shared" si="16"/>
        <v>0</v>
      </c>
      <c r="H118" s="116">
        <f t="shared" si="24"/>
        <v>55460</v>
      </c>
      <c r="I118" s="116">
        <f t="shared" si="17"/>
        <v>55785</v>
      </c>
      <c r="J118" s="119">
        <f t="shared" si="18"/>
        <v>60598</v>
      </c>
      <c r="K118" s="119">
        <f t="shared" si="19"/>
        <v>65996</v>
      </c>
      <c r="L118" s="110"/>
      <c r="M118" s="110"/>
      <c r="N118" s="110"/>
      <c r="O118" s="110"/>
      <c r="P118" s="110"/>
      <c r="Q118" s="110"/>
      <c r="R118" s="110"/>
    </row>
    <row r="119" spans="1:23" x14ac:dyDescent="0.3">
      <c r="A119" s="109">
        <v>94</v>
      </c>
      <c r="B119" s="58">
        <f t="shared" si="20"/>
        <v>6776872</v>
      </c>
      <c r="C119" s="116">
        <f t="shared" si="21"/>
        <v>38422</v>
      </c>
      <c r="D119" s="117">
        <f t="shared" si="22"/>
        <v>17038</v>
      </c>
      <c r="E119" s="297">
        <f t="shared" si="23"/>
        <v>39779</v>
      </c>
      <c r="F119" s="116">
        <f t="shared" si="15"/>
        <v>55460</v>
      </c>
      <c r="G119" s="117">
        <f t="shared" si="16"/>
        <v>0</v>
      </c>
      <c r="H119" s="116">
        <f t="shared" si="24"/>
        <v>55460</v>
      </c>
      <c r="I119" s="116">
        <f t="shared" si="17"/>
        <v>55785</v>
      </c>
      <c r="J119" s="119">
        <f t="shared" si="18"/>
        <v>60598</v>
      </c>
      <c r="K119" s="119">
        <f t="shared" si="19"/>
        <v>65996</v>
      </c>
      <c r="L119" s="110"/>
      <c r="M119" s="110"/>
      <c r="N119" s="110"/>
      <c r="O119" s="110"/>
      <c r="P119" s="110"/>
      <c r="Q119" s="110"/>
      <c r="R119" s="110"/>
    </row>
    <row r="120" spans="1:23" x14ac:dyDescent="0.3">
      <c r="A120" s="109">
        <v>95</v>
      </c>
      <c r="B120" s="58">
        <f t="shared" si="20"/>
        <v>6738354</v>
      </c>
      <c r="C120" s="116">
        <f t="shared" si="21"/>
        <v>38518</v>
      </c>
      <c r="D120" s="117">
        <f t="shared" si="22"/>
        <v>16942</v>
      </c>
      <c r="E120" s="297">
        <f t="shared" si="23"/>
        <v>39779</v>
      </c>
      <c r="F120" s="116">
        <f t="shared" si="15"/>
        <v>55460</v>
      </c>
      <c r="G120" s="117">
        <f t="shared" si="16"/>
        <v>0</v>
      </c>
      <c r="H120" s="116">
        <f t="shared" si="24"/>
        <v>55460</v>
      </c>
      <c r="I120" s="116">
        <f t="shared" si="17"/>
        <v>55785</v>
      </c>
      <c r="J120" s="119">
        <f t="shared" si="18"/>
        <v>60598</v>
      </c>
      <c r="K120" s="119">
        <f t="shared" si="19"/>
        <v>65996</v>
      </c>
      <c r="L120" s="110"/>
      <c r="M120" s="110"/>
      <c r="N120" s="110"/>
      <c r="O120" s="110"/>
      <c r="P120" s="110"/>
      <c r="Q120" s="110"/>
      <c r="R120" s="110"/>
    </row>
    <row r="121" spans="1:23" x14ac:dyDescent="0.3">
      <c r="A121" s="109">
        <v>96</v>
      </c>
      <c r="B121" s="58">
        <f t="shared" si="20"/>
        <v>6699740</v>
      </c>
      <c r="C121" s="116">
        <f t="shared" si="21"/>
        <v>38614</v>
      </c>
      <c r="D121" s="117">
        <f t="shared" si="22"/>
        <v>16846</v>
      </c>
      <c r="E121" s="297">
        <f t="shared" si="23"/>
        <v>39779</v>
      </c>
      <c r="F121" s="116">
        <f t="shared" si="15"/>
        <v>55460</v>
      </c>
      <c r="G121" s="117">
        <f t="shared" si="16"/>
        <v>0</v>
      </c>
      <c r="H121" s="116">
        <f t="shared" si="24"/>
        <v>55460</v>
      </c>
      <c r="I121" s="116">
        <f t="shared" si="17"/>
        <v>55785</v>
      </c>
      <c r="J121" s="119">
        <f t="shared" si="18"/>
        <v>60598</v>
      </c>
      <c r="K121" s="119">
        <f t="shared" si="19"/>
        <v>65996</v>
      </c>
      <c r="L121" s="58">
        <f t="shared" ref="L121:Q121" si="27">SUM(C110:C121)</f>
        <v>457066</v>
      </c>
      <c r="M121" s="58">
        <f t="shared" si="27"/>
        <v>208454</v>
      </c>
      <c r="N121" s="58">
        <f t="shared" si="27"/>
        <v>477348</v>
      </c>
      <c r="O121" s="58">
        <f t="shared" si="27"/>
        <v>665520</v>
      </c>
      <c r="P121" s="58">
        <f t="shared" si="27"/>
        <v>0</v>
      </c>
      <c r="Q121" s="58">
        <f t="shared" si="27"/>
        <v>665520</v>
      </c>
      <c r="R121" s="58">
        <f>SUM(J110:J121)</f>
        <v>727176</v>
      </c>
      <c r="S121" s="29">
        <f>SUM(K110:K121)</f>
        <v>791952</v>
      </c>
      <c r="T121" s="29"/>
      <c r="U121" s="29"/>
      <c r="V121" s="29"/>
      <c r="W121" s="29"/>
    </row>
    <row r="122" spans="1:23" x14ac:dyDescent="0.3">
      <c r="A122" s="109">
        <v>97</v>
      </c>
      <c r="B122" s="58">
        <f t="shared" si="20"/>
        <v>6661029</v>
      </c>
      <c r="C122" s="116">
        <f t="shared" si="21"/>
        <v>38711</v>
      </c>
      <c r="D122" s="117">
        <f t="shared" si="22"/>
        <v>16749</v>
      </c>
      <c r="E122" s="297">
        <f t="shared" si="23"/>
        <v>39779</v>
      </c>
      <c r="F122" s="116">
        <f t="shared" si="15"/>
        <v>55460</v>
      </c>
      <c r="G122" s="117">
        <f t="shared" si="16"/>
        <v>0</v>
      </c>
      <c r="H122" s="116">
        <f t="shared" si="24"/>
        <v>55460</v>
      </c>
      <c r="I122" s="116">
        <f t="shared" si="17"/>
        <v>55785</v>
      </c>
      <c r="J122" s="119">
        <f t="shared" si="18"/>
        <v>60598</v>
      </c>
      <c r="K122" s="119">
        <f t="shared" si="19"/>
        <v>65996</v>
      </c>
      <c r="L122" s="110"/>
      <c r="M122" s="110"/>
      <c r="N122" s="110"/>
      <c r="O122" s="110"/>
      <c r="P122" s="110"/>
      <c r="Q122" s="110"/>
      <c r="R122" s="110"/>
    </row>
    <row r="123" spans="1:23" x14ac:dyDescent="0.3">
      <c r="A123" s="109">
        <v>98</v>
      </c>
      <c r="B123" s="58">
        <f t="shared" si="20"/>
        <v>6622222</v>
      </c>
      <c r="C123" s="116">
        <f t="shared" si="21"/>
        <v>38807</v>
      </c>
      <c r="D123" s="117">
        <f t="shared" si="22"/>
        <v>16653</v>
      </c>
      <c r="E123" s="297">
        <f t="shared" si="23"/>
        <v>39779</v>
      </c>
      <c r="F123" s="116">
        <f t="shared" si="15"/>
        <v>55460</v>
      </c>
      <c r="G123" s="117">
        <f t="shared" si="16"/>
        <v>0</v>
      </c>
      <c r="H123" s="116">
        <f t="shared" si="24"/>
        <v>55460</v>
      </c>
      <c r="I123" s="116">
        <f t="shared" si="17"/>
        <v>55785</v>
      </c>
      <c r="J123" s="119">
        <f t="shared" si="18"/>
        <v>60598</v>
      </c>
      <c r="K123" s="119">
        <f t="shared" si="19"/>
        <v>65996</v>
      </c>
      <c r="L123" s="110"/>
      <c r="M123" s="110"/>
      <c r="N123" s="110"/>
      <c r="O123" s="110"/>
      <c r="P123" s="110"/>
      <c r="Q123" s="110"/>
      <c r="R123" s="110"/>
    </row>
    <row r="124" spans="1:23" x14ac:dyDescent="0.3">
      <c r="A124" s="109">
        <v>99</v>
      </c>
      <c r="B124" s="58">
        <f t="shared" si="20"/>
        <v>6583318</v>
      </c>
      <c r="C124" s="116">
        <f t="shared" si="21"/>
        <v>38904</v>
      </c>
      <c r="D124" s="117">
        <f t="shared" si="22"/>
        <v>16556</v>
      </c>
      <c r="E124" s="297">
        <f t="shared" si="23"/>
        <v>39779</v>
      </c>
      <c r="F124" s="116">
        <f t="shared" si="15"/>
        <v>55460</v>
      </c>
      <c r="G124" s="117">
        <f t="shared" si="16"/>
        <v>0</v>
      </c>
      <c r="H124" s="116">
        <f t="shared" si="24"/>
        <v>55460</v>
      </c>
      <c r="I124" s="116">
        <f t="shared" si="17"/>
        <v>55785</v>
      </c>
      <c r="J124" s="119">
        <f t="shared" si="18"/>
        <v>60598</v>
      </c>
      <c r="K124" s="119">
        <f t="shared" si="19"/>
        <v>65996</v>
      </c>
      <c r="L124" s="110"/>
      <c r="M124" s="110"/>
      <c r="N124" s="110"/>
      <c r="O124" s="110"/>
      <c r="P124" s="110"/>
      <c r="Q124" s="110"/>
      <c r="R124" s="110"/>
    </row>
    <row r="125" spans="1:23" x14ac:dyDescent="0.3">
      <c r="A125" s="109">
        <v>100</v>
      </c>
      <c r="B125" s="58">
        <f t="shared" si="20"/>
        <v>6544316</v>
      </c>
      <c r="C125" s="116">
        <f t="shared" si="21"/>
        <v>39002</v>
      </c>
      <c r="D125" s="117">
        <f t="shared" si="22"/>
        <v>16458</v>
      </c>
      <c r="E125" s="297">
        <f t="shared" si="23"/>
        <v>39779</v>
      </c>
      <c r="F125" s="116">
        <f t="shared" si="15"/>
        <v>55460</v>
      </c>
      <c r="G125" s="117">
        <f t="shared" si="16"/>
        <v>0</v>
      </c>
      <c r="H125" s="116">
        <f t="shared" si="24"/>
        <v>55460</v>
      </c>
      <c r="I125" s="116">
        <f t="shared" si="17"/>
        <v>55785</v>
      </c>
      <c r="J125" s="119">
        <f t="shared" si="18"/>
        <v>60598</v>
      </c>
      <c r="K125" s="119">
        <f t="shared" si="19"/>
        <v>65996</v>
      </c>
      <c r="L125" s="110"/>
      <c r="M125" s="110"/>
      <c r="N125" s="110"/>
      <c r="O125" s="110"/>
      <c r="P125" s="110"/>
      <c r="Q125" s="110"/>
      <c r="R125" s="110"/>
    </row>
    <row r="126" spans="1:23" x14ac:dyDescent="0.3">
      <c r="A126" s="109">
        <v>101</v>
      </c>
      <c r="B126" s="58">
        <f t="shared" si="20"/>
        <v>6505217</v>
      </c>
      <c r="C126" s="116">
        <f t="shared" si="21"/>
        <v>39099</v>
      </c>
      <c r="D126" s="117">
        <f t="shared" si="22"/>
        <v>16361</v>
      </c>
      <c r="E126" s="297">
        <f t="shared" si="23"/>
        <v>39779</v>
      </c>
      <c r="F126" s="116">
        <f t="shared" si="15"/>
        <v>55460</v>
      </c>
      <c r="G126" s="117">
        <f t="shared" si="16"/>
        <v>0</v>
      </c>
      <c r="H126" s="116">
        <f t="shared" si="24"/>
        <v>55460</v>
      </c>
      <c r="I126" s="116">
        <f t="shared" si="17"/>
        <v>55785</v>
      </c>
      <c r="J126" s="119">
        <f t="shared" si="18"/>
        <v>60598</v>
      </c>
      <c r="K126" s="119">
        <f t="shared" si="19"/>
        <v>65996</v>
      </c>
      <c r="L126" s="110"/>
      <c r="M126" s="110"/>
      <c r="N126" s="110"/>
      <c r="O126" s="110"/>
      <c r="P126" s="110"/>
      <c r="Q126" s="110"/>
      <c r="R126" s="110"/>
    </row>
    <row r="127" spans="1:23" x14ac:dyDescent="0.3">
      <c r="A127" s="109">
        <v>102</v>
      </c>
      <c r="B127" s="58">
        <f t="shared" si="20"/>
        <v>6466020</v>
      </c>
      <c r="C127" s="116">
        <f t="shared" si="21"/>
        <v>39197</v>
      </c>
      <c r="D127" s="117">
        <f t="shared" si="22"/>
        <v>16263</v>
      </c>
      <c r="E127" s="297">
        <f t="shared" si="23"/>
        <v>39779</v>
      </c>
      <c r="F127" s="116">
        <f t="shared" si="15"/>
        <v>55460</v>
      </c>
      <c r="G127" s="117">
        <f t="shared" si="16"/>
        <v>0</v>
      </c>
      <c r="H127" s="116">
        <f t="shared" si="24"/>
        <v>55460</v>
      </c>
      <c r="I127" s="116">
        <f t="shared" si="17"/>
        <v>55785</v>
      </c>
      <c r="J127" s="119">
        <f t="shared" si="18"/>
        <v>60598</v>
      </c>
      <c r="K127" s="119">
        <f t="shared" si="19"/>
        <v>65996</v>
      </c>
      <c r="L127" s="110"/>
      <c r="M127" s="110"/>
      <c r="N127" s="110"/>
      <c r="O127" s="110"/>
      <c r="P127" s="110"/>
      <c r="Q127" s="110"/>
      <c r="R127" s="110"/>
    </row>
    <row r="128" spans="1:23" x14ac:dyDescent="0.3">
      <c r="A128" s="109">
        <v>103</v>
      </c>
      <c r="B128" s="58">
        <f t="shared" si="20"/>
        <v>6426725</v>
      </c>
      <c r="C128" s="116">
        <f t="shared" si="21"/>
        <v>39295</v>
      </c>
      <c r="D128" s="117">
        <f t="shared" si="22"/>
        <v>16165</v>
      </c>
      <c r="E128" s="297">
        <f t="shared" si="23"/>
        <v>39779</v>
      </c>
      <c r="F128" s="116">
        <f t="shared" si="15"/>
        <v>55460</v>
      </c>
      <c r="G128" s="117">
        <f t="shared" si="16"/>
        <v>0</v>
      </c>
      <c r="H128" s="116">
        <f t="shared" si="24"/>
        <v>55460</v>
      </c>
      <c r="I128" s="116">
        <f t="shared" si="17"/>
        <v>55785</v>
      </c>
      <c r="J128" s="119">
        <f t="shared" si="18"/>
        <v>60598</v>
      </c>
      <c r="K128" s="119">
        <f t="shared" si="19"/>
        <v>65996</v>
      </c>
      <c r="L128" s="110"/>
      <c r="M128" s="110"/>
      <c r="N128" s="110"/>
      <c r="O128" s="110"/>
      <c r="P128" s="110"/>
      <c r="Q128" s="110"/>
      <c r="R128" s="110"/>
    </row>
    <row r="129" spans="1:23" x14ac:dyDescent="0.3">
      <c r="A129" s="109">
        <v>104</v>
      </c>
      <c r="B129" s="58">
        <f t="shared" si="20"/>
        <v>6387332</v>
      </c>
      <c r="C129" s="116">
        <f t="shared" si="21"/>
        <v>39393</v>
      </c>
      <c r="D129" s="117">
        <f t="shared" si="22"/>
        <v>16067</v>
      </c>
      <c r="E129" s="297">
        <f t="shared" si="23"/>
        <v>39779</v>
      </c>
      <c r="F129" s="116">
        <f t="shared" si="15"/>
        <v>55460</v>
      </c>
      <c r="G129" s="117">
        <f t="shared" si="16"/>
        <v>0</v>
      </c>
      <c r="H129" s="116">
        <f t="shared" si="24"/>
        <v>55460</v>
      </c>
      <c r="I129" s="116">
        <f t="shared" si="17"/>
        <v>55785</v>
      </c>
      <c r="J129" s="119">
        <f t="shared" si="18"/>
        <v>60598</v>
      </c>
      <c r="K129" s="119">
        <f t="shared" si="19"/>
        <v>65996</v>
      </c>
      <c r="L129" s="110"/>
      <c r="M129" s="110"/>
      <c r="N129" s="110"/>
      <c r="O129" s="110"/>
      <c r="P129" s="110"/>
      <c r="Q129" s="110"/>
      <c r="R129" s="110"/>
    </row>
    <row r="130" spans="1:23" x14ac:dyDescent="0.3">
      <c r="A130" s="109">
        <v>105</v>
      </c>
      <c r="B130" s="58">
        <f t="shared" si="20"/>
        <v>6347840</v>
      </c>
      <c r="C130" s="116">
        <f t="shared" si="21"/>
        <v>39492</v>
      </c>
      <c r="D130" s="117">
        <f t="shared" si="22"/>
        <v>15968</v>
      </c>
      <c r="E130" s="297">
        <f t="shared" si="23"/>
        <v>39779</v>
      </c>
      <c r="F130" s="116">
        <f t="shared" si="15"/>
        <v>55460</v>
      </c>
      <c r="G130" s="117">
        <f t="shared" si="16"/>
        <v>0</v>
      </c>
      <c r="H130" s="116">
        <f t="shared" si="24"/>
        <v>55460</v>
      </c>
      <c r="I130" s="116">
        <f t="shared" si="17"/>
        <v>55785</v>
      </c>
      <c r="J130" s="119">
        <f t="shared" si="18"/>
        <v>60598</v>
      </c>
      <c r="K130" s="119">
        <f t="shared" si="19"/>
        <v>65996</v>
      </c>
      <c r="L130" s="110"/>
      <c r="M130" s="110"/>
      <c r="N130" s="110"/>
      <c r="O130" s="110"/>
      <c r="P130" s="110"/>
      <c r="Q130" s="110"/>
      <c r="R130" s="110"/>
    </row>
    <row r="131" spans="1:23" x14ac:dyDescent="0.3">
      <c r="A131" s="109">
        <v>106</v>
      </c>
      <c r="B131" s="58">
        <f t="shared" si="20"/>
        <v>6308250</v>
      </c>
      <c r="C131" s="116">
        <f t="shared" si="21"/>
        <v>39590</v>
      </c>
      <c r="D131" s="117">
        <f t="shared" si="22"/>
        <v>15870</v>
      </c>
      <c r="E131" s="297">
        <f t="shared" si="23"/>
        <v>39779</v>
      </c>
      <c r="F131" s="116">
        <f t="shared" si="15"/>
        <v>55460</v>
      </c>
      <c r="G131" s="117">
        <f t="shared" si="16"/>
        <v>0</v>
      </c>
      <c r="H131" s="116">
        <f t="shared" si="24"/>
        <v>55460</v>
      </c>
      <c r="I131" s="116">
        <f t="shared" si="17"/>
        <v>55785</v>
      </c>
      <c r="J131" s="119">
        <f t="shared" si="18"/>
        <v>60598</v>
      </c>
      <c r="K131" s="119">
        <f t="shared" si="19"/>
        <v>65996</v>
      </c>
      <c r="L131" s="110"/>
      <c r="M131" s="110"/>
      <c r="N131" s="110"/>
      <c r="O131" s="110"/>
      <c r="P131" s="110"/>
      <c r="Q131" s="110"/>
      <c r="R131" s="110"/>
    </row>
    <row r="132" spans="1:23" x14ac:dyDescent="0.3">
      <c r="A132" s="109">
        <v>107</v>
      </c>
      <c r="B132" s="58">
        <f t="shared" si="20"/>
        <v>6268561</v>
      </c>
      <c r="C132" s="116">
        <f t="shared" si="21"/>
        <v>39689</v>
      </c>
      <c r="D132" s="117">
        <f t="shared" si="22"/>
        <v>15771</v>
      </c>
      <c r="E132" s="297">
        <f t="shared" si="23"/>
        <v>39779</v>
      </c>
      <c r="F132" s="116">
        <f t="shared" si="15"/>
        <v>55460</v>
      </c>
      <c r="G132" s="117">
        <f t="shared" si="16"/>
        <v>0</v>
      </c>
      <c r="H132" s="116">
        <f t="shared" si="24"/>
        <v>55460</v>
      </c>
      <c r="I132" s="116">
        <f t="shared" si="17"/>
        <v>55785</v>
      </c>
      <c r="J132" s="119">
        <f t="shared" si="18"/>
        <v>60598</v>
      </c>
      <c r="K132" s="119">
        <f t="shared" si="19"/>
        <v>65996</v>
      </c>
      <c r="L132" s="110"/>
      <c r="M132" s="110"/>
      <c r="N132" s="110"/>
      <c r="O132" s="110"/>
      <c r="P132" s="110"/>
      <c r="Q132" s="110"/>
      <c r="R132" s="110"/>
    </row>
    <row r="133" spans="1:23" x14ac:dyDescent="0.3">
      <c r="A133" s="109">
        <v>108</v>
      </c>
      <c r="B133" s="58">
        <f t="shared" si="20"/>
        <v>6228772</v>
      </c>
      <c r="C133" s="116">
        <f t="shared" si="21"/>
        <v>39789</v>
      </c>
      <c r="D133" s="117">
        <f t="shared" si="22"/>
        <v>15671</v>
      </c>
      <c r="E133" s="297">
        <f t="shared" si="23"/>
        <v>39779</v>
      </c>
      <c r="F133" s="116">
        <f t="shared" si="15"/>
        <v>55460</v>
      </c>
      <c r="G133" s="117">
        <f t="shared" si="16"/>
        <v>0</v>
      </c>
      <c r="H133" s="116">
        <f t="shared" si="24"/>
        <v>55460</v>
      </c>
      <c r="I133" s="116">
        <f t="shared" si="17"/>
        <v>55785</v>
      </c>
      <c r="J133" s="119">
        <f t="shared" si="18"/>
        <v>60598</v>
      </c>
      <c r="K133" s="119">
        <f t="shared" si="19"/>
        <v>65996</v>
      </c>
      <c r="L133" s="58">
        <f t="shared" ref="L133:Q133" si="28">SUM(C122:C133)</f>
        <v>470968</v>
      </c>
      <c r="M133" s="58">
        <f t="shared" si="28"/>
        <v>194552</v>
      </c>
      <c r="N133" s="58">
        <f t="shared" si="28"/>
        <v>477348</v>
      </c>
      <c r="O133" s="58">
        <f t="shared" si="28"/>
        <v>665520</v>
      </c>
      <c r="P133" s="58">
        <f t="shared" si="28"/>
        <v>0</v>
      </c>
      <c r="Q133" s="58">
        <f t="shared" si="28"/>
        <v>665520</v>
      </c>
      <c r="R133" s="58">
        <f>SUM(J122:J133)</f>
        <v>727176</v>
      </c>
      <c r="S133" s="29">
        <f>SUM(K122:K133)</f>
        <v>791952</v>
      </c>
      <c r="T133" s="29"/>
      <c r="U133" s="29"/>
      <c r="V133" s="29"/>
      <c r="W133" s="29"/>
    </row>
    <row r="134" spans="1:23" x14ac:dyDescent="0.3">
      <c r="A134" s="109">
        <v>109</v>
      </c>
      <c r="B134" s="58">
        <f t="shared" si="20"/>
        <v>6188884</v>
      </c>
      <c r="C134" s="116">
        <f t="shared" si="21"/>
        <v>39888</v>
      </c>
      <c r="D134" s="117">
        <f t="shared" si="22"/>
        <v>15572</v>
      </c>
      <c r="E134" s="297">
        <f t="shared" si="23"/>
        <v>39779</v>
      </c>
      <c r="F134" s="116">
        <f t="shared" si="15"/>
        <v>55460</v>
      </c>
      <c r="G134" s="117">
        <f t="shared" si="16"/>
        <v>0</v>
      </c>
      <c r="H134" s="116">
        <f t="shared" si="24"/>
        <v>55460</v>
      </c>
      <c r="I134" s="116">
        <f t="shared" si="17"/>
        <v>55785</v>
      </c>
      <c r="J134" s="119">
        <f t="shared" si="18"/>
        <v>60598</v>
      </c>
      <c r="K134" s="119">
        <f t="shared" si="19"/>
        <v>65996</v>
      </c>
      <c r="L134" s="110"/>
      <c r="M134" s="110"/>
      <c r="N134" s="110"/>
      <c r="O134" s="110"/>
      <c r="P134" s="110"/>
      <c r="Q134" s="110"/>
      <c r="R134" s="110"/>
    </row>
    <row r="135" spans="1:23" x14ac:dyDescent="0.3">
      <c r="A135" s="109">
        <v>110</v>
      </c>
      <c r="B135" s="58">
        <f t="shared" si="20"/>
        <v>6148896</v>
      </c>
      <c r="C135" s="116">
        <f t="shared" si="21"/>
        <v>39988</v>
      </c>
      <c r="D135" s="117">
        <f t="shared" si="22"/>
        <v>15472</v>
      </c>
      <c r="E135" s="297">
        <f t="shared" si="23"/>
        <v>39779</v>
      </c>
      <c r="F135" s="116">
        <f t="shared" si="15"/>
        <v>55460</v>
      </c>
      <c r="G135" s="117">
        <f t="shared" si="16"/>
        <v>0</v>
      </c>
      <c r="H135" s="116">
        <f t="shared" si="24"/>
        <v>55460</v>
      </c>
      <c r="I135" s="116">
        <f t="shared" si="17"/>
        <v>55785</v>
      </c>
      <c r="J135" s="119">
        <f t="shared" si="18"/>
        <v>60598</v>
      </c>
      <c r="K135" s="119">
        <f t="shared" si="19"/>
        <v>65996</v>
      </c>
      <c r="L135" s="110"/>
      <c r="M135" s="110"/>
      <c r="N135" s="110"/>
      <c r="O135" s="110"/>
      <c r="P135" s="110"/>
      <c r="Q135" s="110"/>
      <c r="R135" s="110"/>
    </row>
    <row r="136" spans="1:23" x14ac:dyDescent="0.3">
      <c r="A136" s="109">
        <v>111</v>
      </c>
      <c r="B136" s="58">
        <f t="shared" si="20"/>
        <v>6108808</v>
      </c>
      <c r="C136" s="116">
        <f t="shared" si="21"/>
        <v>40088</v>
      </c>
      <c r="D136" s="117">
        <f t="shared" si="22"/>
        <v>15372</v>
      </c>
      <c r="E136" s="297">
        <f t="shared" si="23"/>
        <v>39779</v>
      </c>
      <c r="F136" s="116">
        <f t="shared" si="15"/>
        <v>55460</v>
      </c>
      <c r="G136" s="117">
        <f t="shared" si="16"/>
        <v>0</v>
      </c>
      <c r="H136" s="116">
        <f t="shared" si="24"/>
        <v>55460</v>
      </c>
      <c r="I136" s="116">
        <f t="shared" si="17"/>
        <v>55785</v>
      </c>
      <c r="J136" s="119">
        <f t="shared" si="18"/>
        <v>60598</v>
      </c>
      <c r="K136" s="119">
        <f t="shared" si="19"/>
        <v>65996</v>
      </c>
      <c r="L136" s="110"/>
      <c r="M136" s="110"/>
      <c r="N136" s="110"/>
      <c r="O136" s="110"/>
      <c r="P136" s="110"/>
      <c r="Q136" s="110"/>
      <c r="R136" s="110"/>
    </row>
    <row r="137" spans="1:23" x14ac:dyDescent="0.3">
      <c r="A137" s="109">
        <v>112</v>
      </c>
      <c r="B137" s="58">
        <f t="shared" si="20"/>
        <v>6068620</v>
      </c>
      <c r="C137" s="116">
        <f t="shared" si="21"/>
        <v>40188</v>
      </c>
      <c r="D137" s="117">
        <f t="shared" si="22"/>
        <v>15272</v>
      </c>
      <c r="E137" s="297">
        <f t="shared" si="23"/>
        <v>39779</v>
      </c>
      <c r="F137" s="116">
        <f t="shared" si="15"/>
        <v>55460</v>
      </c>
      <c r="G137" s="117">
        <f t="shared" si="16"/>
        <v>0</v>
      </c>
      <c r="H137" s="116">
        <f t="shared" si="24"/>
        <v>55460</v>
      </c>
      <c r="I137" s="116">
        <f t="shared" si="17"/>
        <v>55785</v>
      </c>
      <c r="J137" s="119">
        <f t="shared" si="18"/>
        <v>60598</v>
      </c>
      <c r="K137" s="119">
        <f t="shared" si="19"/>
        <v>65996</v>
      </c>
      <c r="L137" s="110"/>
      <c r="M137" s="110"/>
      <c r="N137" s="110"/>
      <c r="O137" s="110"/>
      <c r="P137" s="110"/>
      <c r="Q137" s="110"/>
      <c r="R137" s="110"/>
    </row>
    <row r="138" spans="1:23" x14ac:dyDescent="0.3">
      <c r="A138" s="109">
        <v>113</v>
      </c>
      <c r="B138" s="58">
        <f t="shared" si="20"/>
        <v>6028332</v>
      </c>
      <c r="C138" s="116">
        <f t="shared" si="21"/>
        <v>40288</v>
      </c>
      <c r="D138" s="117">
        <f t="shared" si="22"/>
        <v>15172</v>
      </c>
      <c r="E138" s="297">
        <f t="shared" si="23"/>
        <v>39779</v>
      </c>
      <c r="F138" s="116">
        <f t="shared" si="15"/>
        <v>55460</v>
      </c>
      <c r="G138" s="117">
        <f t="shared" si="16"/>
        <v>0</v>
      </c>
      <c r="H138" s="116">
        <f t="shared" si="24"/>
        <v>55460</v>
      </c>
      <c r="I138" s="116">
        <f t="shared" si="17"/>
        <v>55785</v>
      </c>
      <c r="J138" s="119">
        <f t="shared" si="18"/>
        <v>60598</v>
      </c>
      <c r="K138" s="119">
        <f t="shared" si="19"/>
        <v>65996</v>
      </c>
      <c r="L138" s="110"/>
      <c r="M138" s="110"/>
      <c r="N138" s="110"/>
      <c r="O138" s="110"/>
      <c r="P138" s="110"/>
      <c r="Q138" s="110"/>
      <c r="R138" s="110"/>
    </row>
    <row r="139" spans="1:23" x14ac:dyDescent="0.3">
      <c r="A139" s="109">
        <v>114</v>
      </c>
      <c r="B139" s="58">
        <f t="shared" si="20"/>
        <v>5987943</v>
      </c>
      <c r="C139" s="116">
        <f t="shared" si="21"/>
        <v>40389</v>
      </c>
      <c r="D139" s="117">
        <f t="shared" si="22"/>
        <v>15071</v>
      </c>
      <c r="E139" s="297">
        <f t="shared" si="23"/>
        <v>39779</v>
      </c>
      <c r="F139" s="116">
        <f t="shared" si="15"/>
        <v>55460</v>
      </c>
      <c r="G139" s="117">
        <f t="shared" si="16"/>
        <v>0</v>
      </c>
      <c r="H139" s="116">
        <f t="shared" si="24"/>
        <v>55460</v>
      </c>
      <c r="I139" s="116">
        <f t="shared" si="17"/>
        <v>55785</v>
      </c>
      <c r="J139" s="119">
        <f t="shared" si="18"/>
        <v>60598</v>
      </c>
      <c r="K139" s="119">
        <f t="shared" si="19"/>
        <v>65996</v>
      </c>
      <c r="L139" s="110"/>
      <c r="M139" s="110"/>
      <c r="N139" s="110"/>
      <c r="O139" s="110"/>
      <c r="P139" s="110"/>
      <c r="Q139" s="110"/>
      <c r="R139" s="110"/>
    </row>
    <row r="140" spans="1:23" x14ac:dyDescent="0.3">
      <c r="A140" s="109">
        <v>115</v>
      </c>
      <c r="B140" s="58">
        <f t="shared" si="20"/>
        <v>5947453</v>
      </c>
      <c r="C140" s="116">
        <f t="shared" si="21"/>
        <v>40490</v>
      </c>
      <c r="D140" s="117">
        <f t="shared" si="22"/>
        <v>14970</v>
      </c>
      <c r="E140" s="297">
        <f t="shared" si="23"/>
        <v>39779</v>
      </c>
      <c r="F140" s="116">
        <f t="shared" si="15"/>
        <v>55460</v>
      </c>
      <c r="G140" s="117">
        <f t="shared" si="16"/>
        <v>0</v>
      </c>
      <c r="H140" s="116">
        <f t="shared" si="24"/>
        <v>55460</v>
      </c>
      <c r="I140" s="116">
        <f t="shared" si="17"/>
        <v>55785</v>
      </c>
      <c r="J140" s="119">
        <f t="shared" si="18"/>
        <v>60598</v>
      </c>
      <c r="K140" s="119">
        <f t="shared" si="19"/>
        <v>65996</v>
      </c>
      <c r="L140" s="110"/>
      <c r="M140" s="110"/>
      <c r="N140" s="110"/>
      <c r="O140" s="110"/>
      <c r="P140" s="110"/>
      <c r="Q140" s="110"/>
      <c r="R140" s="110"/>
    </row>
    <row r="141" spans="1:23" x14ac:dyDescent="0.3">
      <c r="A141" s="109">
        <v>116</v>
      </c>
      <c r="B141" s="58">
        <f t="shared" si="20"/>
        <v>5906862</v>
      </c>
      <c r="C141" s="116">
        <f t="shared" si="21"/>
        <v>40591</v>
      </c>
      <c r="D141" s="117">
        <f t="shared" si="22"/>
        <v>14869</v>
      </c>
      <c r="E141" s="297">
        <f t="shared" si="23"/>
        <v>39779</v>
      </c>
      <c r="F141" s="116">
        <f t="shared" si="15"/>
        <v>55460</v>
      </c>
      <c r="G141" s="117">
        <f t="shared" si="16"/>
        <v>0</v>
      </c>
      <c r="H141" s="116">
        <f t="shared" si="24"/>
        <v>55460</v>
      </c>
      <c r="I141" s="116">
        <f t="shared" si="17"/>
        <v>55785</v>
      </c>
      <c r="J141" s="119">
        <f t="shared" si="18"/>
        <v>60598</v>
      </c>
      <c r="K141" s="119">
        <f t="shared" si="19"/>
        <v>65996</v>
      </c>
      <c r="L141" s="110"/>
      <c r="M141" s="110"/>
      <c r="N141" s="110"/>
      <c r="O141" s="110"/>
      <c r="P141" s="110"/>
      <c r="Q141" s="110"/>
      <c r="R141" s="110"/>
    </row>
    <row r="142" spans="1:23" x14ac:dyDescent="0.3">
      <c r="A142" s="109">
        <v>117</v>
      </c>
      <c r="B142" s="58">
        <f t="shared" si="20"/>
        <v>5866169</v>
      </c>
      <c r="C142" s="116">
        <f t="shared" si="21"/>
        <v>40693</v>
      </c>
      <c r="D142" s="117">
        <f t="shared" si="22"/>
        <v>14767</v>
      </c>
      <c r="E142" s="297">
        <f t="shared" si="23"/>
        <v>39779</v>
      </c>
      <c r="F142" s="116">
        <f t="shared" si="15"/>
        <v>55460</v>
      </c>
      <c r="G142" s="117">
        <f t="shared" si="16"/>
        <v>0</v>
      </c>
      <c r="H142" s="116">
        <f t="shared" si="24"/>
        <v>55460</v>
      </c>
      <c r="I142" s="116">
        <f t="shared" si="17"/>
        <v>55785</v>
      </c>
      <c r="J142" s="119">
        <f t="shared" si="18"/>
        <v>60598</v>
      </c>
      <c r="K142" s="119">
        <f t="shared" si="19"/>
        <v>65996</v>
      </c>
      <c r="L142" s="110"/>
      <c r="M142" s="110"/>
      <c r="N142" s="110"/>
      <c r="O142" s="110"/>
      <c r="P142" s="110"/>
      <c r="Q142" s="110"/>
      <c r="R142" s="110"/>
    </row>
    <row r="143" spans="1:23" x14ac:dyDescent="0.3">
      <c r="A143" s="109">
        <v>118</v>
      </c>
      <c r="B143" s="58">
        <f t="shared" si="20"/>
        <v>5825374</v>
      </c>
      <c r="C143" s="116">
        <f t="shared" si="21"/>
        <v>40795</v>
      </c>
      <c r="D143" s="117">
        <f t="shared" si="22"/>
        <v>14665</v>
      </c>
      <c r="E143" s="297">
        <f t="shared" si="23"/>
        <v>39779</v>
      </c>
      <c r="F143" s="116">
        <f t="shared" si="15"/>
        <v>55460</v>
      </c>
      <c r="G143" s="117">
        <f t="shared" si="16"/>
        <v>0</v>
      </c>
      <c r="H143" s="116">
        <f t="shared" si="24"/>
        <v>55460</v>
      </c>
      <c r="I143" s="116">
        <f t="shared" si="17"/>
        <v>55785</v>
      </c>
      <c r="J143" s="119">
        <f t="shared" si="18"/>
        <v>60598</v>
      </c>
      <c r="K143" s="119">
        <f t="shared" si="19"/>
        <v>65996</v>
      </c>
      <c r="L143" s="110"/>
      <c r="M143" s="110"/>
      <c r="N143" s="110"/>
      <c r="O143" s="110"/>
      <c r="P143" s="110"/>
      <c r="Q143" s="110"/>
      <c r="R143" s="110"/>
    </row>
    <row r="144" spans="1:23" x14ac:dyDescent="0.3">
      <c r="A144" s="109">
        <v>119</v>
      </c>
      <c r="B144" s="58">
        <f t="shared" si="20"/>
        <v>5784477</v>
      </c>
      <c r="C144" s="116">
        <f t="shared" si="21"/>
        <v>40897</v>
      </c>
      <c r="D144" s="117">
        <f t="shared" si="22"/>
        <v>14563</v>
      </c>
      <c r="E144" s="297">
        <f t="shared" si="23"/>
        <v>39779</v>
      </c>
      <c r="F144" s="116">
        <f t="shared" si="15"/>
        <v>55460</v>
      </c>
      <c r="G144" s="117">
        <f t="shared" si="16"/>
        <v>0</v>
      </c>
      <c r="H144" s="116">
        <f t="shared" si="24"/>
        <v>55460</v>
      </c>
      <c r="I144" s="116">
        <f t="shared" si="17"/>
        <v>55785</v>
      </c>
      <c r="J144" s="119">
        <f t="shared" si="18"/>
        <v>60598</v>
      </c>
      <c r="K144" s="119">
        <f t="shared" si="19"/>
        <v>65996</v>
      </c>
      <c r="L144" s="110"/>
      <c r="M144" s="110"/>
      <c r="N144" s="110"/>
      <c r="O144" s="110"/>
      <c r="P144" s="110"/>
      <c r="Q144" s="110"/>
      <c r="R144" s="110"/>
    </row>
    <row r="145" spans="1:23" x14ac:dyDescent="0.3">
      <c r="A145" s="109">
        <v>120</v>
      </c>
      <c r="B145" s="58">
        <f t="shared" si="20"/>
        <v>5743478</v>
      </c>
      <c r="C145" s="116">
        <f t="shared" si="21"/>
        <v>40999</v>
      </c>
      <c r="D145" s="117">
        <f t="shared" si="22"/>
        <v>14461</v>
      </c>
      <c r="E145" s="297">
        <f t="shared" si="23"/>
        <v>39779</v>
      </c>
      <c r="F145" s="116">
        <f t="shared" si="15"/>
        <v>55460</v>
      </c>
      <c r="G145" s="117">
        <f t="shared" si="16"/>
        <v>0</v>
      </c>
      <c r="H145" s="116">
        <f t="shared" si="24"/>
        <v>55460</v>
      </c>
      <c r="I145" s="116">
        <f t="shared" si="17"/>
        <v>55785</v>
      </c>
      <c r="J145" s="119">
        <f t="shared" si="18"/>
        <v>60598</v>
      </c>
      <c r="K145" s="119">
        <f t="shared" si="19"/>
        <v>65996</v>
      </c>
      <c r="L145" s="58">
        <f t="shared" ref="L145:Q145" si="29">SUM(C134:C145)</f>
        <v>485294</v>
      </c>
      <c r="M145" s="58">
        <f t="shared" si="29"/>
        <v>180226</v>
      </c>
      <c r="N145" s="58">
        <f t="shared" si="29"/>
        <v>477348</v>
      </c>
      <c r="O145" s="58">
        <f t="shared" si="29"/>
        <v>665520</v>
      </c>
      <c r="P145" s="58">
        <f t="shared" si="29"/>
        <v>0</v>
      </c>
      <c r="Q145" s="58">
        <f t="shared" si="29"/>
        <v>665520</v>
      </c>
      <c r="R145" s="58">
        <f>SUM(J134:J145)</f>
        <v>727176</v>
      </c>
      <c r="S145" s="29">
        <f>SUM(K134:K145)</f>
        <v>791952</v>
      </c>
      <c r="T145" s="29"/>
      <c r="U145" s="29"/>
      <c r="V145" s="29"/>
      <c r="W145" s="29"/>
    </row>
    <row r="146" spans="1:23" x14ac:dyDescent="0.3">
      <c r="A146" s="109">
        <v>121</v>
      </c>
      <c r="B146" s="58">
        <f t="shared" si="20"/>
        <v>5702377</v>
      </c>
      <c r="C146" s="116">
        <f t="shared" si="21"/>
        <v>41101</v>
      </c>
      <c r="D146" s="117">
        <f t="shared" si="22"/>
        <v>14359</v>
      </c>
      <c r="E146" s="297">
        <f t="shared" si="23"/>
        <v>39779</v>
      </c>
      <c r="F146" s="116">
        <f t="shared" si="15"/>
        <v>55460</v>
      </c>
      <c r="G146" s="117">
        <f t="shared" si="16"/>
        <v>0</v>
      </c>
      <c r="H146" s="116">
        <f t="shared" si="24"/>
        <v>55460</v>
      </c>
      <c r="I146" s="116">
        <f t="shared" si="17"/>
        <v>55785</v>
      </c>
      <c r="J146" s="119">
        <f t="shared" si="18"/>
        <v>60598</v>
      </c>
      <c r="K146" s="119">
        <f t="shared" si="19"/>
        <v>65996</v>
      </c>
      <c r="L146" s="110"/>
      <c r="M146" s="110"/>
      <c r="N146" s="110"/>
      <c r="O146" s="110"/>
      <c r="P146" s="110"/>
      <c r="Q146" s="110"/>
      <c r="R146" s="110"/>
    </row>
    <row r="147" spans="1:23" x14ac:dyDescent="0.3">
      <c r="A147" s="109">
        <v>122</v>
      </c>
      <c r="B147" s="58">
        <f t="shared" si="20"/>
        <v>5661173</v>
      </c>
      <c r="C147" s="116">
        <f t="shared" si="21"/>
        <v>41204</v>
      </c>
      <c r="D147" s="117">
        <f t="shared" si="22"/>
        <v>14256</v>
      </c>
      <c r="E147" s="297">
        <f t="shared" si="23"/>
        <v>39779</v>
      </c>
      <c r="F147" s="116">
        <f t="shared" si="15"/>
        <v>55460</v>
      </c>
      <c r="G147" s="117">
        <f t="shared" si="16"/>
        <v>0</v>
      </c>
      <c r="H147" s="116">
        <f t="shared" si="24"/>
        <v>55460</v>
      </c>
      <c r="I147" s="116">
        <f t="shared" si="17"/>
        <v>55785</v>
      </c>
      <c r="J147" s="119">
        <f t="shared" si="18"/>
        <v>60598</v>
      </c>
      <c r="K147" s="119">
        <f t="shared" si="19"/>
        <v>65996</v>
      </c>
      <c r="L147" s="110"/>
      <c r="M147" s="110"/>
      <c r="N147" s="110"/>
      <c r="O147" s="110"/>
      <c r="P147" s="110"/>
      <c r="Q147" s="110"/>
      <c r="R147" s="110"/>
    </row>
    <row r="148" spans="1:23" x14ac:dyDescent="0.3">
      <c r="A148" s="109">
        <v>123</v>
      </c>
      <c r="B148" s="58">
        <f t="shared" si="20"/>
        <v>5619866</v>
      </c>
      <c r="C148" s="116">
        <f t="shared" si="21"/>
        <v>41307</v>
      </c>
      <c r="D148" s="117">
        <f t="shared" si="22"/>
        <v>14153</v>
      </c>
      <c r="E148" s="297">
        <f t="shared" si="23"/>
        <v>39779</v>
      </c>
      <c r="F148" s="116">
        <f t="shared" si="15"/>
        <v>55460</v>
      </c>
      <c r="G148" s="117">
        <f t="shared" si="16"/>
        <v>0</v>
      </c>
      <c r="H148" s="116">
        <f t="shared" si="24"/>
        <v>55460</v>
      </c>
      <c r="I148" s="116">
        <f t="shared" si="17"/>
        <v>55785</v>
      </c>
      <c r="J148" s="119">
        <f t="shared" si="18"/>
        <v>60598</v>
      </c>
      <c r="K148" s="119">
        <f t="shared" si="19"/>
        <v>65996</v>
      </c>
      <c r="L148" s="110"/>
      <c r="M148" s="110"/>
      <c r="N148" s="110"/>
      <c r="O148" s="110"/>
      <c r="P148" s="110"/>
      <c r="Q148" s="110"/>
      <c r="R148" s="110"/>
    </row>
    <row r="149" spans="1:23" x14ac:dyDescent="0.3">
      <c r="A149" s="109">
        <v>124</v>
      </c>
      <c r="B149" s="58">
        <f t="shared" si="20"/>
        <v>5578456</v>
      </c>
      <c r="C149" s="116">
        <f t="shared" si="21"/>
        <v>41410</v>
      </c>
      <c r="D149" s="117">
        <f t="shared" si="22"/>
        <v>14050</v>
      </c>
      <c r="E149" s="297">
        <f t="shared" si="23"/>
        <v>39779</v>
      </c>
      <c r="F149" s="116">
        <f t="shared" si="15"/>
        <v>55460</v>
      </c>
      <c r="G149" s="117">
        <f t="shared" si="16"/>
        <v>0</v>
      </c>
      <c r="H149" s="116">
        <f t="shared" si="24"/>
        <v>55460</v>
      </c>
      <c r="I149" s="116">
        <f t="shared" si="17"/>
        <v>55785</v>
      </c>
      <c r="J149" s="119">
        <f t="shared" si="18"/>
        <v>60598</v>
      </c>
      <c r="K149" s="119">
        <f t="shared" si="19"/>
        <v>65996</v>
      </c>
      <c r="L149" s="110"/>
      <c r="M149" s="110"/>
      <c r="N149" s="110"/>
      <c r="O149" s="110"/>
      <c r="P149" s="110"/>
      <c r="Q149" s="110"/>
      <c r="R149" s="110"/>
    </row>
    <row r="150" spans="1:23" x14ac:dyDescent="0.3">
      <c r="A150" s="109">
        <v>125</v>
      </c>
      <c r="B150" s="58">
        <f t="shared" si="20"/>
        <v>5536942</v>
      </c>
      <c r="C150" s="116">
        <f t="shared" si="21"/>
        <v>41514</v>
      </c>
      <c r="D150" s="117">
        <f t="shared" si="22"/>
        <v>13946</v>
      </c>
      <c r="E150" s="297">
        <f t="shared" si="23"/>
        <v>39779</v>
      </c>
      <c r="F150" s="116">
        <f t="shared" si="15"/>
        <v>55460</v>
      </c>
      <c r="G150" s="117">
        <f t="shared" si="16"/>
        <v>0</v>
      </c>
      <c r="H150" s="116">
        <f t="shared" si="24"/>
        <v>55460</v>
      </c>
      <c r="I150" s="116">
        <f t="shared" si="17"/>
        <v>55785</v>
      </c>
      <c r="J150" s="119">
        <f t="shared" si="18"/>
        <v>60598</v>
      </c>
      <c r="K150" s="119">
        <f t="shared" si="19"/>
        <v>65996</v>
      </c>
      <c r="L150" s="110"/>
      <c r="M150" s="110"/>
      <c r="N150" s="110"/>
      <c r="O150" s="110"/>
      <c r="P150" s="110"/>
      <c r="Q150" s="110"/>
      <c r="R150" s="110"/>
    </row>
    <row r="151" spans="1:23" x14ac:dyDescent="0.3">
      <c r="A151" s="109">
        <v>126</v>
      </c>
      <c r="B151" s="58">
        <f t="shared" si="20"/>
        <v>5495324</v>
      </c>
      <c r="C151" s="116">
        <f t="shared" si="21"/>
        <v>41618</v>
      </c>
      <c r="D151" s="117">
        <f t="shared" si="22"/>
        <v>13842</v>
      </c>
      <c r="E151" s="297">
        <f t="shared" si="23"/>
        <v>39779</v>
      </c>
      <c r="F151" s="116">
        <f t="shared" si="15"/>
        <v>55460</v>
      </c>
      <c r="G151" s="117">
        <f t="shared" si="16"/>
        <v>0</v>
      </c>
      <c r="H151" s="116">
        <f t="shared" si="24"/>
        <v>55460</v>
      </c>
      <c r="I151" s="116">
        <f t="shared" si="17"/>
        <v>55785</v>
      </c>
      <c r="J151" s="119">
        <f t="shared" si="18"/>
        <v>60598</v>
      </c>
      <c r="K151" s="119">
        <f t="shared" si="19"/>
        <v>65996</v>
      </c>
      <c r="L151" s="110"/>
      <c r="M151" s="110"/>
      <c r="N151" s="110"/>
      <c r="O151" s="110"/>
      <c r="P151" s="110"/>
      <c r="Q151" s="110"/>
      <c r="R151" s="110"/>
    </row>
    <row r="152" spans="1:23" x14ac:dyDescent="0.3">
      <c r="A152" s="109">
        <v>127</v>
      </c>
      <c r="B152" s="58">
        <f t="shared" si="20"/>
        <v>5453602</v>
      </c>
      <c r="C152" s="116">
        <f t="shared" si="21"/>
        <v>41722</v>
      </c>
      <c r="D152" s="117">
        <f t="shared" si="22"/>
        <v>13738</v>
      </c>
      <c r="E152" s="297">
        <f t="shared" si="23"/>
        <v>39779</v>
      </c>
      <c r="F152" s="116">
        <f t="shared" si="15"/>
        <v>55460</v>
      </c>
      <c r="G152" s="117">
        <f t="shared" si="16"/>
        <v>0</v>
      </c>
      <c r="H152" s="116">
        <f t="shared" si="24"/>
        <v>55460</v>
      </c>
      <c r="I152" s="116">
        <f t="shared" si="17"/>
        <v>55785</v>
      </c>
      <c r="J152" s="119">
        <f t="shared" si="18"/>
        <v>60598</v>
      </c>
      <c r="K152" s="119">
        <f t="shared" si="19"/>
        <v>65996</v>
      </c>
      <c r="L152" s="110"/>
      <c r="M152" s="110"/>
      <c r="N152" s="110"/>
      <c r="O152" s="110"/>
      <c r="P152" s="110"/>
      <c r="Q152" s="110"/>
      <c r="R152" s="110"/>
    </row>
    <row r="153" spans="1:23" x14ac:dyDescent="0.3">
      <c r="A153" s="109">
        <v>128</v>
      </c>
      <c r="B153" s="58">
        <f t="shared" si="20"/>
        <v>5411776</v>
      </c>
      <c r="C153" s="116">
        <f t="shared" si="21"/>
        <v>41826</v>
      </c>
      <c r="D153" s="117">
        <f t="shared" si="22"/>
        <v>13634</v>
      </c>
      <c r="E153" s="297">
        <f t="shared" si="23"/>
        <v>39779</v>
      </c>
      <c r="F153" s="116">
        <f t="shared" si="15"/>
        <v>55460</v>
      </c>
      <c r="G153" s="117">
        <f t="shared" si="16"/>
        <v>0</v>
      </c>
      <c r="H153" s="116">
        <f t="shared" si="24"/>
        <v>55460</v>
      </c>
      <c r="I153" s="116">
        <f t="shared" si="17"/>
        <v>55785</v>
      </c>
      <c r="J153" s="119">
        <f t="shared" si="18"/>
        <v>60598</v>
      </c>
      <c r="K153" s="119">
        <f t="shared" si="19"/>
        <v>65996</v>
      </c>
      <c r="L153" s="110"/>
      <c r="M153" s="110"/>
      <c r="N153" s="110"/>
      <c r="O153" s="110"/>
      <c r="P153" s="110"/>
      <c r="Q153" s="110"/>
      <c r="R153" s="110"/>
    </row>
    <row r="154" spans="1:23" x14ac:dyDescent="0.3">
      <c r="A154" s="109">
        <v>129</v>
      </c>
      <c r="B154" s="58">
        <f t="shared" si="20"/>
        <v>5369845</v>
      </c>
      <c r="C154" s="116">
        <f t="shared" si="21"/>
        <v>41931</v>
      </c>
      <c r="D154" s="117">
        <f t="shared" si="22"/>
        <v>13529</v>
      </c>
      <c r="E154" s="297">
        <f t="shared" si="23"/>
        <v>39779</v>
      </c>
      <c r="F154" s="116">
        <f t="shared" ref="F154:F217" si="30">ROUND(IF(A154&gt;$G$6,(IF(A154&gt;=$C$3,B153+D154,PMT($C$4/12,$C$3-$G$6,-$B$25))),D154),0)</f>
        <v>55460</v>
      </c>
      <c r="G154" s="117">
        <f t="shared" ref="G154:G217" si="31">ROUND(IF(A154&gt;$G$6,0,$B$25*$C$14/360*30),0)</f>
        <v>0</v>
      </c>
      <c r="H154" s="116">
        <f t="shared" si="24"/>
        <v>55460</v>
      </c>
      <c r="I154" s="116">
        <f t="shared" ref="I154:I217" si="32">IF(A154&lt;=$C$3,H154+$C$17,0)</f>
        <v>55785</v>
      </c>
      <c r="J154" s="119">
        <f t="shared" ref="J154:J217" si="33">ROUND(IF(A154&gt;$G$6,(IF(A154&gt;=$C$3,B153+D154,PMT($L$12/12,$C$3-$G$6,-$B$25))),D154),0)</f>
        <v>60598</v>
      </c>
      <c r="K154" s="119">
        <f t="shared" ref="K154:K217" si="34">ROUND(IF(A154&gt;$G$6,(IF(A154&gt;=$C$3,B153+D154,PMT($L$13/12,$C$3-$G$6,-$B$25))),D154),0)</f>
        <v>65996</v>
      </c>
      <c r="L154" s="110"/>
      <c r="M154" s="110"/>
      <c r="N154" s="110"/>
      <c r="O154" s="110"/>
      <c r="P154" s="110"/>
      <c r="Q154" s="110"/>
      <c r="R154" s="110"/>
    </row>
    <row r="155" spans="1:23" x14ac:dyDescent="0.3">
      <c r="A155" s="109">
        <v>130</v>
      </c>
      <c r="B155" s="58">
        <f t="shared" ref="B155:B218" si="35">B154-C155</f>
        <v>5327810</v>
      </c>
      <c r="C155" s="116">
        <f t="shared" ref="C155:C218" si="36">+F155-D155</f>
        <v>42035</v>
      </c>
      <c r="D155" s="117">
        <f t="shared" ref="D155:D218" si="37">ROUND(IF(A155&gt;$G$6,B154*$C$4*30/360,0),0)</f>
        <v>13425</v>
      </c>
      <c r="E155" s="297">
        <f t="shared" ref="E155:E218" si="38">ROUND(IF(A155&gt;$C$3,0,$B$25*($C$5/12)),0)</f>
        <v>39779</v>
      </c>
      <c r="F155" s="116">
        <f t="shared" si="30"/>
        <v>55460</v>
      </c>
      <c r="G155" s="117">
        <f t="shared" si="31"/>
        <v>0</v>
      </c>
      <c r="H155" s="116">
        <f t="shared" si="24"/>
        <v>55460</v>
      </c>
      <c r="I155" s="116">
        <f t="shared" si="32"/>
        <v>55785</v>
      </c>
      <c r="J155" s="119">
        <f t="shared" si="33"/>
        <v>60598</v>
      </c>
      <c r="K155" s="119">
        <f t="shared" si="34"/>
        <v>65996</v>
      </c>
      <c r="L155" s="110"/>
      <c r="M155" s="110"/>
      <c r="N155" s="110"/>
      <c r="O155" s="110"/>
      <c r="P155" s="110"/>
      <c r="Q155" s="110"/>
      <c r="R155" s="110"/>
    </row>
    <row r="156" spans="1:23" x14ac:dyDescent="0.3">
      <c r="A156" s="109">
        <v>131</v>
      </c>
      <c r="B156" s="58">
        <f t="shared" si="35"/>
        <v>5285670</v>
      </c>
      <c r="C156" s="116">
        <f t="shared" si="36"/>
        <v>42140</v>
      </c>
      <c r="D156" s="117">
        <f t="shared" si="37"/>
        <v>13320</v>
      </c>
      <c r="E156" s="297">
        <f t="shared" si="38"/>
        <v>39779</v>
      </c>
      <c r="F156" s="116">
        <f t="shared" si="30"/>
        <v>55460</v>
      </c>
      <c r="G156" s="117">
        <f t="shared" si="31"/>
        <v>0</v>
      </c>
      <c r="H156" s="116">
        <f t="shared" ref="H156:H219" si="39">F156+G156</f>
        <v>55460</v>
      </c>
      <c r="I156" s="116">
        <f t="shared" si="32"/>
        <v>55785</v>
      </c>
      <c r="J156" s="119">
        <f t="shared" si="33"/>
        <v>60598</v>
      </c>
      <c r="K156" s="119">
        <f t="shared" si="34"/>
        <v>65996</v>
      </c>
      <c r="L156" s="110"/>
      <c r="M156" s="110"/>
      <c r="N156" s="110"/>
      <c r="O156" s="110"/>
      <c r="P156" s="110"/>
      <c r="Q156" s="110"/>
      <c r="R156" s="110"/>
    </row>
    <row r="157" spans="1:23" x14ac:dyDescent="0.3">
      <c r="A157" s="109">
        <v>132</v>
      </c>
      <c r="B157" s="58">
        <f t="shared" si="35"/>
        <v>5243424</v>
      </c>
      <c r="C157" s="116">
        <f t="shared" si="36"/>
        <v>42246</v>
      </c>
      <c r="D157" s="117">
        <f t="shared" si="37"/>
        <v>13214</v>
      </c>
      <c r="E157" s="297">
        <f t="shared" si="38"/>
        <v>39779</v>
      </c>
      <c r="F157" s="116">
        <f t="shared" si="30"/>
        <v>55460</v>
      </c>
      <c r="G157" s="117">
        <f t="shared" si="31"/>
        <v>0</v>
      </c>
      <c r="H157" s="116">
        <f t="shared" si="39"/>
        <v>55460</v>
      </c>
      <c r="I157" s="116">
        <f t="shared" si="32"/>
        <v>55785</v>
      </c>
      <c r="J157" s="119">
        <f t="shared" si="33"/>
        <v>60598</v>
      </c>
      <c r="K157" s="119">
        <f t="shared" si="34"/>
        <v>65996</v>
      </c>
      <c r="L157" s="58">
        <f t="shared" ref="L157:Q157" si="40">SUM(C146:C157)</f>
        <v>500054</v>
      </c>
      <c r="M157" s="58">
        <f t="shared" si="40"/>
        <v>165466</v>
      </c>
      <c r="N157" s="58">
        <f t="shared" si="40"/>
        <v>477348</v>
      </c>
      <c r="O157" s="58">
        <f t="shared" si="40"/>
        <v>665520</v>
      </c>
      <c r="P157" s="58">
        <f t="shared" si="40"/>
        <v>0</v>
      </c>
      <c r="Q157" s="58">
        <f t="shared" si="40"/>
        <v>665520</v>
      </c>
      <c r="R157" s="58">
        <f>SUM(J146:J157)</f>
        <v>727176</v>
      </c>
      <c r="S157" s="29">
        <f>SUM(K146:K157)</f>
        <v>791952</v>
      </c>
      <c r="T157" s="29"/>
      <c r="U157" s="29"/>
      <c r="V157" s="29"/>
      <c r="W157" s="29"/>
    </row>
    <row r="158" spans="1:23" x14ac:dyDescent="0.3">
      <c r="A158" s="109">
        <v>133</v>
      </c>
      <c r="B158" s="58">
        <f t="shared" si="35"/>
        <v>5201073</v>
      </c>
      <c r="C158" s="116">
        <f t="shared" si="36"/>
        <v>42351</v>
      </c>
      <c r="D158" s="117">
        <f t="shared" si="37"/>
        <v>13109</v>
      </c>
      <c r="E158" s="297">
        <f t="shared" si="38"/>
        <v>39779</v>
      </c>
      <c r="F158" s="116">
        <f t="shared" si="30"/>
        <v>55460</v>
      </c>
      <c r="G158" s="117">
        <f t="shared" si="31"/>
        <v>0</v>
      </c>
      <c r="H158" s="116">
        <f t="shared" si="39"/>
        <v>55460</v>
      </c>
      <c r="I158" s="116">
        <f t="shared" si="32"/>
        <v>55785</v>
      </c>
      <c r="J158" s="119">
        <f t="shared" si="33"/>
        <v>60598</v>
      </c>
      <c r="K158" s="119">
        <f t="shared" si="34"/>
        <v>65996</v>
      </c>
      <c r="L158" s="110"/>
      <c r="M158" s="110"/>
      <c r="N158" s="110"/>
      <c r="O158" s="110"/>
      <c r="P158" s="110"/>
      <c r="Q158" s="110"/>
      <c r="R158" s="110"/>
    </row>
    <row r="159" spans="1:23" x14ac:dyDescent="0.3">
      <c r="A159" s="109">
        <v>134</v>
      </c>
      <c r="B159" s="58">
        <f t="shared" si="35"/>
        <v>5158616</v>
      </c>
      <c r="C159" s="116">
        <f t="shared" si="36"/>
        <v>42457</v>
      </c>
      <c r="D159" s="117">
        <f t="shared" si="37"/>
        <v>13003</v>
      </c>
      <c r="E159" s="297">
        <f t="shared" si="38"/>
        <v>39779</v>
      </c>
      <c r="F159" s="116">
        <f t="shared" si="30"/>
        <v>55460</v>
      </c>
      <c r="G159" s="117">
        <f t="shared" si="31"/>
        <v>0</v>
      </c>
      <c r="H159" s="116">
        <f t="shared" si="39"/>
        <v>55460</v>
      </c>
      <c r="I159" s="116">
        <f t="shared" si="32"/>
        <v>55785</v>
      </c>
      <c r="J159" s="119">
        <f t="shared" si="33"/>
        <v>60598</v>
      </c>
      <c r="K159" s="119">
        <f t="shared" si="34"/>
        <v>65996</v>
      </c>
      <c r="L159" s="110"/>
      <c r="M159" s="110"/>
      <c r="N159" s="110"/>
      <c r="O159" s="110"/>
      <c r="P159" s="110"/>
      <c r="Q159" s="110"/>
      <c r="R159" s="110"/>
    </row>
    <row r="160" spans="1:23" x14ac:dyDescent="0.3">
      <c r="A160" s="109">
        <v>135</v>
      </c>
      <c r="B160" s="58">
        <f t="shared" si="35"/>
        <v>5116053</v>
      </c>
      <c r="C160" s="116">
        <f t="shared" si="36"/>
        <v>42563</v>
      </c>
      <c r="D160" s="117">
        <f t="shared" si="37"/>
        <v>12897</v>
      </c>
      <c r="E160" s="297">
        <f t="shared" si="38"/>
        <v>39779</v>
      </c>
      <c r="F160" s="116">
        <f t="shared" si="30"/>
        <v>55460</v>
      </c>
      <c r="G160" s="117">
        <f t="shared" si="31"/>
        <v>0</v>
      </c>
      <c r="H160" s="116">
        <f t="shared" si="39"/>
        <v>55460</v>
      </c>
      <c r="I160" s="116">
        <f t="shared" si="32"/>
        <v>55785</v>
      </c>
      <c r="J160" s="119">
        <f t="shared" si="33"/>
        <v>60598</v>
      </c>
      <c r="K160" s="119">
        <f t="shared" si="34"/>
        <v>65996</v>
      </c>
      <c r="L160" s="110"/>
      <c r="M160" s="110"/>
      <c r="N160" s="110"/>
      <c r="O160" s="110"/>
      <c r="P160" s="110"/>
      <c r="Q160" s="110"/>
      <c r="R160" s="110"/>
    </row>
    <row r="161" spans="1:23" x14ac:dyDescent="0.3">
      <c r="A161" s="109">
        <v>136</v>
      </c>
      <c r="B161" s="58">
        <f t="shared" si="35"/>
        <v>5073383</v>
      </c>
      <c r="C161" s="116">
        <f t="shared" si="36"/>
        <v>42670</v>
      </c>
      <c r="D161" s="117">
        <f t="shared" si="37"/>
        <v>12790</v>
      </c>
      <c r="E161" s="297">
        <f t="shared" si="38"/>
        <v>39779</v>
      </c>
      <c r="F161" s="116">
        <f t="shared" si="30"/>
        <v>55460</v>
      </c>
      <c r="G161" s="117">
        <f t="shared" si="31"/>
        <v>0</v>
      </c>
      <c r="H161" s="116">
        <f t="shared" si="39"/>
        <v>55460</v>
      </c>
      <c r="I161" s="116">
        <f t="shared" si="32"/>
        <v>55785</v>
      </c>
      <c r="J161" s="119">
        <f t="shared" si="33"/>
        <v>60598</v>
      </c>
      <c r="K161" s="119">
        <f t="shared" si="34"/>
        <v>65996</v>
      </c>
      <c r="L161" s="110"/>
      <c r="M161" s="110"/>
      <c r="N161" s="110"/>
      <c r="O161" s="110"/>
      <c r="P161" s="110"/>
      <c r="Q161" s="110"/>
      <c r="R161" s="110"/>
    </row>
    <row r="162" spans="1:23" x14ac:dyDescent="0.3">
      <c r="A162" s="109">
        <v>137</v>
      </c>
      <c r="B162" s="58">
        <f t="shared" si="35"/>
        <v>5030606</v>
      </c>
      <c r="C162" s="116">
        <f t="shared" si="36"/>
        <v>42777</v>
      </c>
      <c r="D162" s="117">
        <f t="shared" si="37"/>
        <v>12683</v>
      </c>
      <c r="E162" s="297">
        <f t="shared" si="38"/>
        <v>39779</v>
      </c>
      <c r="F162" s="116">
        <f t="shared" si="30"/>
        <v>55460</v>
      </c>
      <c r="G162" s="117">
        <f t="shared" si="31"/>
        <v>0</v>
      </c>
      <c r="H162" s="116">
        <f t="shared" si="39"/>
        <v>55460</v>
      </c>
      <c r="I162" s="116">
        <f t="shared" si="32"/>
        <v>55785</v>
      </c>
      <c r="J162" s="119">
        <f t="shared" si="33"/>
        <v>60598</v>
      </c>
      <c r="K162" s="119">
        <f t="shared" si="34"/>
        <v>65996</v>
      </c>
      <c r="L162" s="110"/>
      <c r="M162" s="110"/>
      <c r="N162" s="110"/>
      <c r="O162" s="110"/>
      <c r="P162" s="110"/>
      <c r="Q162" s="110"/>
      <c r="R162" s="110"/>
    </row>
    <row r="163" spans="1:23" x14ac:dyDescent="0.3">
      <c r="A163" s="109">
        <v>138</v>
      </c>
      <c r="B163" s="58">
        <f t="shared" si="35"/>
        <v>4987723</v>
      </c>
      <c r="C163" s="116">
        <f t="shared" si="36"/>
        <v>42883</v>
      </c>
      <c r="D163" s="117">
        <f t="shared" si="37"/>
        <v>12577</v>
      </c>
      <c r="E163" s="297">
        <f t="shared" si="38"/>
        <v>39779</v>
      </c>
      <c r="F163" s="116">
        <f t="shared" si="30"/>
        <v>55460</v>
      </c>
      <c r="G163" s="117">
        <f t="shared" si="31"/>
        <v>0</v>
      </c>
      <c r="H163" s="116">
        <f t="shared" si="39"/>
        <v>55460</v>
      </c>
      <c r="I163" s="116">
        <f t="shared" si="32"/>
        <v>55785</v>
      </c>
      <c r="J163" s="119">
        <f t="shared" si="33"/>
        <v>60598</v>
      </c>
      <c r="K163" s="119">
        <f t="shared" si="34"/>
        <v>65996</v>
      </c>
      <c r="L163" s="110"/>
      <c r="M163" s="110"/>
      <c r="N163" s="110"/>
      <c r="O163" s="110"/>
      <c r="P163" s="110"/>
      <c r="Q163" s="110"/>
      <c r="R163" s="110"/>
    </row>
    <row r="164" spans="1:23" x14ac:dyDescent="0.3">
      <c r="A164" s="109">
        <v>139</v>
      </c>
      <c r="B164" s="58">
        <f t="shared" si="35"/>
        <v>4944732</v>
      </c>
      <c r="C164" s="116">
        <f t="shared" si="36"/>
        <v>42991</v>
      </c>
      <c r="D164" s="117">
        <f t="shared" si="37"/>
        <v>12469</v>
      </c>
      <c r="E164" s="297">
        <f t="shared" si="38"/>
        <v>39779</v>
      </c>
      <c r="F164" s="116">
        <f t="shared" si="30"/>
        <v>55460</v>
      </c>
      <c r="G164" s="117">
        <f t="shared" si="31"/>
        <v>0</v>
      </c>
      <c r="H164" s="116">
        <f t="shared" si="39"/>
        <v>55460</v>
      </c>
      <c r="I164" s="116">
        <f t="shared" si="32"/>
        <v>55785</v>
      </c>
      <c r="J164" s="119">
        <f t="shared" si="33"/>
        <v>60598</v>
      </c>
      <c r="K164" s="119">
        <f t="shared" si="34"/>
        <v>65996</v>
      </c>
      <c r="L164" s="110"/>
      <c r="M164" s="110"/>
      <c r="N164" s="110"/>
      <c r="O164" s="110"/>
      <c r="P164" s="110"/>
      <c r="Q164" s="110"/>
      <c r="R164" s="110"/>
    </row>
    <row r="165" spans="1:23" x14ac:dyDescent="0.3">
      <c r="A165" s="109">
        <v>140</v>
      </c>
      <c r="B165" s="58">
        <f t="shared" si="35"/>
        <v>4901634</v>
      </c>
      <c r="C165" s="116">
        <f t="shared" si="36"/>
        <v>43098</v>
      </c>
      <c r="D165" s="117">
        <f t="shared" si="37"/>
        <v>12362</v>
      </c>
      <c r="E165" s="297">
        <f t="shared" si="38"/>
        <v>39779</v>
      </c>
      <c r="F165" s="116">
        <f t="shared" si="30"/>
        <v>55460</v>
      </c>
      <c r="G165" s="117">
        <f t="shared" si="31"/>
        <v>0</v>
      </c>
      <c r="H165" s="116">
        <f t="shared" si="39"/>
        <v>55460</v>
      </c>
      <c r="I165" s="116">
        <f t="shared" si="32"/>
        <v>55785</v>
      </c>
      <c r="J165" s="119">
        <f t="shared" si="33"/>
        <v>60598</v>
      </c>
      <c r="K165" s="119">
        <f t="shared" si="34"/>
        <v>65996</v>
      </c>
      <c r="L165" s="110"/>
      <c r="M165" s="110"/>
      <c r="N165" s="110"/>
      <c r="O165" s="110"/>
      <c r="P165" s="110"/>
      <c r="Q165" s="110"/>
      <c r="R165" s="110"/>
    </row>
    <row r="166" spans="1:23" x14ac:dyDescent="0.3">
      <c r="A166" s="109">
        <v>141</v>
      </c>
      <c r="B166" s="58">
        <f t="shared" si="35"/>
        <v>4858428</v>
      </c>
      <c r="C166" s="116">
        <f t="shared" si="36"/>
        <v>43206</v>
      </c>
      <c r="D166" s="117">
        <f t="shared" si="37"/>
        <v>12254</v>
      </c>
      <c r="E166" s="297">
        <f t="shared" si="38"/>
        <v>39779</v>
      </c>
      <c r="F166" s="116">
        <f t="shared" si="30"/>
        <v>55460</v>
      </c>
      <c r="G166" s="117">
        <f t="shared" si="31"/>
        <v>0</v>
      </c>
      <c r="H166" s="116">
        <f t="shared" si="39"/>
        <v>55460</v>
      </c>
      <c r="I166" s="116">
        <f t="shared" si="32"/>
        <v>55785</v>
      </c>
      <c r="J166" s="119">
        <f t="shared" si="33"/>
        <v>60598</v>
      </c>
      <c r="K166" s="119">
        <f t="shared" si="34"/>
        <v>65996</v>
      </c>
      <c r="L166" s="110"/>
      <c r="M166" s="110"/>
      <c r="N166" s="110"/>
      <c r="O166" s="110"/>
      <c r="P166" s="110"/>
      <c r="Q166" s="110"/>
      <c r="R166" s="110"/>
    </row>
    <row r="167" spans="1:23" x14ac:dyDescent="0.3">
      <c r="A167" s="109">
        <v>142</v>
      </c>
      <c r="B167" s="58">
        <f t="shared" si="35"/>
        <v>4815114</v>
      </c>
      <c r="C167" s="116">
        <f t="shared" si="36"/>
        <v>43314</v>
      </c>
      <c r="D167" s="117">
        <f t="shared" si="37"/>
        <v>12146</v>
      </c>
      <c r="E167" s="297">
        <f t="shared" si="38"/>
        <v>39779</v>
      </c>
      <c r="F167" s="116">
        <f t="shared" si="30"/>
        <v>55460</v>
      </c>
      <c r="G167" s="117">
        <f t="shared" si="31"/>
        <v>0</v>
      </c>
      <c r="H167" s="116">
        <f t="shared" si="39"/>
        <v>55460</v>
      </c>
      <c r="I167" s="116">
        <f t="shared" si="32"/>
        <v>55785</v>
      </c>
      <c r="J167" s="119">
        <f t="shared" si="33"/>
        <v>60598</v>
      </c>
      <c r="K167" s="119">
        <f t="shared" si="34"/>
        <v>65996</v>
      </c>
      <c r="L167" s="110"/>
      <c r="M167" s="110"/>
      <c r="N167" s="110"/>
      <c r="O167" s="110"/>
      <c r="P167" s="110"/>
      <c r="Q167" s="110"/>
      <c r="R167" s="110"/>
    </row>
    <row r="168" spans="1:23" x14ac:dyDescent="0.3">
      <c r="A168" s="109">
        <v>143</v>
      </c>
      <c r="B168" s="58">
        <f t="shared" si="35"/>
        <v>4771692</v>
      </c>
      <c r="C168" s="116">
        <f t="shared" si="36"/>
        <v>43422</v>
      </c>
      <c r="D168" s="117">
        <f t="shared" si="37"/>
        <v>12038</v>
      </c>
      <c r="E168" s="297">
        <f t="shared" si="38"/>
        <v>39779</v>
      </c>
      <c r="F168" s="116">
        <f t="shared" si="30"/>
        <v>55460</v>
      </c>
      <c r="G168" s="117">
        <f t="shared" si="31"/>
        <v>0</v>
      </c>
      <c r="H168" s="116">
        <f t="shared" si="39"/>
        <v>55460</v>
      </c>
      <c r="I168" s="116">
        <f t="shared" si="32"/>
        <v>55785</v>
      </c>
      <c r="J168" s="119">
        <f t="shared" si="33"/>
        <v>60598</v>
      </c>
      <c r="K168" s="119">
        <f t="shared" si="34"/>
        <v>65996</v>
      </c>
      <c r="L168" s="110"/>
      <c r="M168" s="110"/>
      <c r="N168" s="110"/>
      <c r="O168" s="110"/>
      <c r="P168" s="110"/>
      <c r="Q168" s="110"/>
      <c r="R168" s="110"/>
    </row>
    <row r="169" spans="1:23" x14ac:dyDescent="0.3">
      <c r="A169" s="109">
        <v>144</v>
      </c>
      <c r="B169" s="58">
        <f t="shared" si="35"/>
        <v>4728161</v>
      </c>
      <c r="C169" s="116">
        <f t="shared" si="36"/>
        <v>43531</v>
      </c>
      <c r="D169" s="117">
        <f t="shared" si="37"/>
        <v>11929</v>
      </c>
      <c r="E169" s="297">
        <f t="shared" si="38"/>
        <v>39779</v>
      </c>
      <c r="F169" s="116">
        <f t="shared" si="30"/>
        <v>55460</v>
      </c>
      <c r="G169" s="117">
        <f t="shared" si="31"/>
        <v>0</v>
      </c>
      <c r="H169" s="116">
        <f t="shared" si="39"/>
        <v>55460</v>
      </c>
      <c r="I169" s="116">
        <f t="shared" si="32"/>
        <v>55785</v>
      </c>
      <c r="J169" s="119">
        <f t="shared" si="33"/>
        <v>60598</v>
      </c>
      <c r="K169" s="119">
        <f t="shared" si="34"/>
        <v>65996</v>
      </c>
      <c r="L169" s="58">
        <f t="shared" ref="L169:Q169" si="41">SUM(C158:C169)</f>
        <v>515263</v>
      </c>
      <c r="M169" s="58">
        <f t="shared" si="41"/>
        <v>150257</v>
      </c>
      <c r="N169" s="58">
        <f t="shared" si="41"/>
        <v>477348</v>
      </c>
      <c r="O169" s="58">
        <f t="shared" si="41"/>
        <v>665520</v>
      </c>
      <c r="P169" s="58">
        <f t="shared" si="41"/>
        <v>0</v>
      </c>
      <c r="Q169" s="58">
        <f t="shared" si="41"/>
        <v>665520</v>
      </c>
      <c r="R169" s="58">
        <f>SUM(J158:J169)</f>
        <v>727176</v>
      </c>
      <c r="S169" s="29">
        <f>SUM(K158:K169)</f>
        <v>791952</v>
      </c>
      <c r="T169" s="29"/>
      <c r="U169" s="29"/>
      <c r="V169" s="29"/>
      <c r="W169" s="29"/>
    </row>
    <row r="170" spans="1:23" x14ac:dyDescent="0.3">
      <c r="A170" s="109">
        <v>145</v>
      </c>
      <c r="B170" s="58">
        <f t="shared" si="35"/>
        <v>4684521</v>
      </c>
      <c r="C170" s="116">
        <f t="shared" si="36"/>
        <v>43640</v>
      </c>
      <c r="D170" s="117">
        <f t="shared" si="37"/>
        <v>11820</v>
      </c>
      <c r="E170" s="297">
        <f t="shared" si="38"/>
        <v>39779</v>
      </c>
      <c r="F170" s="116">
        <f t="shared" si="30"/>
        <v>55460</v>
      </c>
      <c r="G170" s="117">
        <f t="shared" si="31"/>
        <v>0</v>
      </c>
      <c r="H170" s="116">
        <f t="shared" si="39"/>
        <v>55460</v>
      </c>
      <c r="I170" s="116">
        <f t="shared" si="32"/>
        <v>55785</v>
      </c>
      <c r="J170" s="119">
        <f t="shared" si="33"/>
        <v>60598</v>
      </c>
      <c r="K170" s="119">
        <f t="shared" si="34"/>
        <v>65996</v>
      </c>
      <c r="L170" s="110"/>
      <c r="M170" s="110"/>
      <c r="N170" s="110"/>
      <c r="O170" s="110"/>
      <c r="P170" s="110"/>
      <c r="Q170" s="110"/>
      <c r="R170" s="110"/>
    </row>
    <row r="171" spans="1:23" x14ac:dyDescent="0.3">
      <c r="A171" s="109">
        <v>146</v>
      </c>
      <c r="B171" s="58">
        <f t="shared" si="35"/>
        <v>4640772</v>
      </c>
      <c r="C171" s="116">
        <f t="shared" si="36"/>
        <v>43749</v>
      </c>
      <c r="D171" s="117">
        <f t="shared" si="37"/>
        <v>11711</v>
      </c>
      <c r="E171" s="297">
        <f t="shared" si="38"/>
        <v>39779</v>
      </c>
      <c r="F171" s="116">
        <f t="shared" si="30"/>
        <v>55460</v>
      </c>
      <c r="G171" s="117">
        <f t="shared" si="31"/>
        <v>0</v>
      </c>
      <c r="H171" s="116">
        <f t="shared" si="39"/>
        <v>55460</v>
      </c>
      <c r="I171" s="116">
        <f t="shared" si="32"/>
        <v>55785</v>
      </c>
      <c r="J171" s="119">
        <f t="shared" si="33"/>
        <v>60598</v>
      </c>
      <c r="K171" s="119">
        <f t="shared" si="34"/>
        <v>65996</v>
      </c>
      <c r="L171" s="110"/>
      <c r="M171" s="110"/>
      <c r="N171" s="110"/>
      <c r="O171" s="110"/>
      <c r="P171" s="110"/>
      <c r="Q171" s="110"/>
      <c r="R171" s="110"/>
    </row>
    <row r="172" spans="1:23" x14ac:dyDescent="0.3">
      <c r="A172" s="109">
        <v>147</v>
      </c>
      <c r="B172" s="58">
        <f t="shared" si="35"/>
        <v>4596914</v>
      </c>
      <c r="C172" s="116">
        <f t="shared" si="36"/>
        <v>43858</v>
      </c>
      <c r="D172" s="117">
        <f t="shared" si="37"/>
        <v>11602</v>
      </c>
      <c r="E172" s="297">
        <f t="shared" si="38"/>
        <v>39779</v>
      </c>
      <c r="F172" s="116">
        <f t="shared" si="30"/>
        <v>55460</v>
      </c>
      <c r="G172" s="117">
        <f t="shared" si="31"/>
        <v>0</v>
      </c>
      <c r="H172" s="116">
        <f t="shared" si="39"/>
        <v>55460</v>
      </c>
      <c r="I172" s="116">
        <f t="shared" si="32"/>
        <v>55785</v>
      </c>
      <c r="J172" s="119">
        <f t="shared" si="33"/>
        <v>60598</v>
      </c>
      <c r="K172" s="119">
        <f t="shared" si="34"/>
        <v>65996</v>
      </c>
      <c r="L172" s="110"/>
      <c r="M172" s="110"/>
      <c r="N172" s="110"/>
      <c r="O172" s="110"/>
      <c r="P172" s="110"/>
      <c r="Q172" s="110"/>
      <c r="R172" s="110"/>
    </row>
    <row r="173" spans="1:23" x14ac:dyDescent="0.3">
      <c r="A173" s="109">
        <v>148</v>
      </c>
      <c r="B173" s="58">
        <f t="shared" si="35"/>
        <v>4552946</v>
      </c>
      <c r="C173" s="116">
        <f t="shared" si="36"/>
        <v>43968</v>
      </c>
      <c r="D173" s="117">
        <f t="shared" si="37"/>
        <v>11492</v>
      </c>
      <c r="E173" s="297">
        <f t="shared" si="38"/>
        <v>39779</v>
      </c>
      <c r="F173" s="116">
        <f t="shared" si="30"/>
        <v>55460</v>
      </c>
      <c r="G173" s="117">
        <f t="shared" si="31"/>
        <v>0</v>
      </c>
      <c r="H173" s="116">
        <f t="shared" si="39"/>
        <v>55460</v>
      </c>
      <c r="I173" s="116">
        <f t="shared" si="32"/>
        <v>55785</v>
      </c>
      <c r="J173" s="119">
        <f t="shared" si="33"/>
        <v>60598</v>
      </c>
      <c r="K173" s="119">
        <f t="shared" si="34"/>
        <v>65996</v>
      </c>
      <c r="L173" s="110"/>
      <c r="M173" s="110"/>
      <c r="N173" s="110"/>
      <c r="O173" s="110"/>
      <c r="P173" s="110"/>
      <c r="Q173" s="110"/>
      <c r="R173" s="110"/>
    </row>
    <row r="174" spans="1:23" x14ac:dyDescent="0.3">
      <c r="A174" s="109">
        <v>149</v>
      </c>
      <c r="B174" s="58">
        <f t="shared" si="35"/>
        <v>4508868</v>
      </c>
      <c r="C174" s="116">
        <f t="shared" si="36"/>
        <v>44078</v>
      </c>
      <c r="D174" s="117">
        <f t="shared" si="37"/>
        <v>11382</v>
      </c>
      <c r="E174" s="297">
        <f t="shared" si="38"/>
        <v>39779</v>
      </c>
      <c r="F174" s="116">
        <f t="shared" si="30"/>
        <v>55460</v>
      </c>
      <c r="G174" s="117">
        <f t="shared" si="31"/>
        <v>0</v>
      </c>
      <c r="H174" s="116">
        <f t="shared" si="39"/>
        <v>55460</v>
      </c>
      <c r="I174" s="116">
        <f t="shared" si="32"/>
        <v>55785</v>
      </c>
      <c r="J174" s="119">
        <f t="shared" si="33"/>
        <v>60598</v>
      </c>
      <c r="K174" s="119">
        <f t="shared" si="34"/>
        <v>65996</v>
      </c>
      <c r="L174" s="110"/>
      <c r="M174" s="110"/>
      <c r="N174" s="110"/>
      <c r="O174" s="110"/>
      <c r="P174" s="110"/>
      <c r="Q174" s="110"/>
      <c r="R174" s="110"/>
    </row>
    <row r="175" spans="1:23" x14ac:dyDescent="0.3">
      <c r="A175" s="109">
        <v>150</v>
      </c>
      <c r="B175" s="58">
        <f t="shared" si="35"/>
        <v>4464680</v>
      </c>
      <c r="C175" s="116">
        <f t="shared" si="36"/>
        <v>44188</v>
      </c>
      <c r="D175" s="117">
        <f t="shared" si="37"/>
        <v>11272</v>
      </c>
      <c r="E175" s="297">
        <f t="shared" si="38"/>
        <v>39779</v>
      </c>
      <c r="F175" s="116">
        <f t="shared" si="30"/>
        <v>55460</v>
      </c>
      <c r="G175" s="117">
        <f t="shared" si="31"/>
        <v>0</v>
      </c>
      <c r="H175" s="116">
        <f t="shared" si="39"/>
        <v>55460</v>
      </c>
      <c r="I175" s="116">
        <f t="shared" si="32"/>
        <v>55785</v>
      </c>
      <c r="J175" s="119">
        <f t="shared" si="33"/>
        <v>60598</v>
      </c>
      <c r="K175" s="119">
        <f t="shared" si="34"/>
        <v>65996</v>
      </c>
      <c r="L175" s="110"/>
      <c r="M175" s="110"/>
      <c r="N175" s="110"/>
      <c r="O175" s="110"/>
      <c r="P175" s="110"/>
      <c r="Q175" s="110"/>
      <c r="R175" s="110"/>
    </row>
    <row r="176" spans="1:23" x14ac:dyDescent="0.3">
      <c r="A176" s="109">
        <v>151</v>
      </c>
      <c r="B176" s="58">
        <f t="shared" si="35"/>
        <v>4420382</v>
      </c>
      <c r="C176" s="116">
        <f t="shared" si="36"/>
        <v>44298</v>
      </c>
      <c r="D176" s="117">
        <f t="shared" si="37"/>
        <v>11162</v>
      </c>
      <c r="E176" s="297">
        <f t="shared" si="38"/>
        <v>39779</v>
      </c>
      <c r="F176" s="116">
        <f t="shared" si="30"/>
        <v>55460</v>
      </c>
      <c r="G176" s="117">
        <f t="shared" si="31"/>
        <v>0</v>
      </c>
      <c r="H176" s="116">
        <f t="shared" si="39"/>
        <v>55460</v>
      </c>
      <c r="I176" s="116">
        <f t="shared" si="32"/>
        <v>55785</v>
      </c>
      <c r="J176" s="119">
        <f t="shared" si="33"/>
        <v>60598</v>
      </c>
      <c r="K176" s="119">
        <f t="shared" si="34"/>
        <v>65996</v>
      </c>
      <c r="L176" s="110"/>
      <c r="M176" s="110"/>
      <c r="N176" s="110"/>
      <c r="O176" s="110"/>
      <c r="P176" s="110"/>
      <c r="Q176" s="110"/>
      <c r="R176" s="110"/>
    </row>
    <row r="177" spans="1:23" x14ac:dyDescent="0.3">
      <c r="A177" s="109">
        <v>152</v>
      </c>
      <c r="B177" s="58">
        <f t="shared" si="35"/>
        <v>4375973</v>
      </c>
      <c r="C177" s="116">
        <f t="shared" si="36"/>
        <v>44409</v>
      </c>
      <c r="D177" s="117">
        <f t="shared" si="37"/>
        <v>11051</v>
      </c>
      <c r="E177" s="297">
        <f t="shared" si="38"/>
        <v>39779</v>
      </c>
      <c r="F177" s="116">
        <f t="shared" si="30"/>
        <v>55460</v>
      </c>
      <c r="G177" s="117">
        <f t="shared" si="31"/>
        <v>0</v>
      </c>
      <c r="H177" s="116">
        <f t="shared" si="39"/>
        <v>55460</v>
      </c>
      <c r="I177" s="116">
        <f t="shared" si="32"/>
        <v>55785</v>
      </c>
      <c r="J177" s="119">
        <f t="shared" si="33"/>
        <v>60598</v>
      </c>
      <c r="K177" s="119">
        <f t="shared" si="34"/>
        <v>65996</v>
      </c>
      <c r="L177" s="110"/>
      <c r="M177" s="110"/>
      <c r="N177" s="110"/>
      <c r="O177" s="110"/>
      <c r="P177" s="110"/>
      <c r="Q177" s="110"/>
      <c r="R177" s="110"/>
    </row>
    <row r="178" spans="1:23" x14ac:dyDescent="0.3">
      <c r="A178" s="109">
        <v>153</v>
      </c>
      <c r="B178" s="58">
        <f t="shared" si="35"/>
        <v>4331453</v>
      </c>
      <c r="C178" s="116">
        <f t="shared" si="36"/>
        <v>44520</v>
      </c>
      <c r="D178" s="117">
        <f t="shared" si="37"/>
        <v>10940</v>
      </c>
      <c r="E178" s="297">
        <f t="shared" si="38"/>
        <v>39779</v>
      </c>
      <c r="F178" s="116">
        <f t="shared" si="30"/>
        <v>55460</v>
      </c>
      <c r="G178" s="117">
        <f t="shared" si="31"/>
        <v>0</v>
      </c>
      <c r="H178" s="116">
        <f t="shared" si="39"/>
        <v>55460</v>
      </c>
      <c r="I178" s="116">
        <f t="shared" si="32"/>
        <v>55785</v>
      </c>
      <c r="J178" s="119">
        <f t="shared" si="33"/>
        <v>60598</v>
      </c>
      <c r="K178" s="119">
        <f t="shared" si="34"/>
        <v>65996</v>
      </c>
      <c r="L178" s="110"/>
      <c r="M178" s="110"/>
      <c r="N178" s="110"/>
      <c r="O178" s="110"/>
      <c r="P178" s="110"/>
      <c r="Q178" s="110"/>
      <c r="R178" s="110"/>
    </row>
    <row r="179" spans="1:23" x14ac:dyDescent="0.3">
      <c r="A179" s="109">
        <v>154</v>
      </c>
      <c r="B179" s="58">
        <f t="shared" si="35"/>
        <v>4286822</v>
      </c>
      <c r="C179" s="116">
        <f t="shared" si="36"/>
        <v>44631</v>
      </c>
      <c r="D179" s="117">
        <f t="shared" si="37"/>
        <v>10829</v>
      </c>
      <c r="E179" s="297">
        <f t="shared" si="38"/>
        <v>39779</v>
      </c>
      <c r="F179" s="116">
        <f t="shared" si="30"/>
        <v>55460</v>
      </c>
      <c r="G179" s="117">
        <f t="shared" si="31"/>
        <v>0</v>
      </c>
      <c r="H179" s="116">
        <f t="shared" si="39"/>
        <v>55460</v>
      </c>
      <c r="I179" s="116">
        <f t="shared" si="32"/>
        <v>55785</v>
      </c>
      <c r="J179" s="119">
        <f t="shared" si="33"/>
        <v>60598</v>
      </c>
      <c r="K179" s="119">
        <f t="shared" si="34"/>
        <v>65996</v>
      </c>
      <c r="L179" s="110"/>
      <c r="M179" s="110"/>
      <c r="N179" s="110"/>
      <c r="O179" s="110"/>
      <c r="P179" s="110"/>
      <c r="Q179" s="110"/>
      <c r="R179" s="110"/>
    </row>
    <row r="180" spans="1:23" x14ac:dyDescent="0.3">
      <c r="A180" s="109">
        <v>155</v>
      </c>
      <c r="B180" s="58">
        <f t="shared" si="35"/>
        <v>4242079</v>
      </c>
      <c r="C180" s="116">
        <f t="shared" si="36"/>
        <v>44743</v>
      </c>
      <c r="D180" s="117">
        <f t="shared" si="37"/>
        <v>10717</v>
      </c>
      <c r="E180" s="297">
        <f t="shared" si="38"/>
        <v>39779</v>
      </c>
      <c r="F180" s="116">
        <f t="shared" si="30"/>
        <v>55460</v>
      </c>
      <c r="G180" s="117">
        <f t="shared" si="31"/>
        <v>0</v>
      </c>
      <c r="H180" s="116">
        <f t="shared" si="39"/>
        <v>55460</v>
      </c>
      <c r="I180" s="116">
        <f t="shared" si="32"/>
        <v>55785</v>
      </c>
      <c r="J180" s="119">
        <f t="shared" si="33"/>
        <v>60598</v>
      </c>
      <c r="K180" s="119">
        <f t="shared" si="34"/>
        <v>65996</v>
      </c>
      <c r="L180" s="110"/>
      <c r="M180" s="110"/>
      <c r="N180" s="110"/>
      <c r="O180" s="110"/>
      <c r="P180" s="110"/>
      <c r="Q180" s="110"/>
      <c r="R180" s="110"/>
    </row>
    <row r="181" spans="1:23" x14ac:dyDescent="0.3">
      <c r="A181" s="109">
        <v>156</v>
      </c>
      <c r="B181" s="58">
        <f t="shared" si="35"/>
        <v>4197224</v>
      </c>
      <c r="C181" s="116">
        <f t="shared" si="36"/>
        <v>44855</v>
      </c>
      <c r="D181" s="117">
        <f t="shared" si="37"/>
        <v>10605</v>
      </c>
      <c r="E181" s="297">
        <f t="shared" si="38"/>
        <v>39779</v>
      </c>
      <c r="F181" s="116">
        <f t="shared" si="30"/>
        <v>55460</v>
      </c>
      <c r="G181" s="117">
        <f t="shared" si="31"/>
        <v>0</v>
      </c>
      <c r="H181" s="116">
        <f t="shared" si="39"/>
        <v>55460</v>
      </c>
      <c r="I181" s="116">
        <f t="shared" si="32"/>
        <v>55785</v>
      </c>
      <c r="J181" s="119">
        <f t="shared" si="33"/>
        <v>60598</v>
      </c>
      <c r="K181" s="119">
        <f t="shared" si="34"/>
        <v>65996</v>
      </c>
      <c r="L181" s="58">
        <f t="shared" ref="L181:Q181" si="42">SUM(C170:C181)</f>
        <v>530937</v>
      </c>
      <c r="M181" s="58">
        <f t="shared" si="42"/>
        <v>134583</v>
      </c>
      <c r="N181" s="58">
        <f t="shared" si="42"/>
        <v>477348</v>
      </c>
      <c r="O181" s="58">
        <f t="shared" si="42"/>
        <v>665520</v>
      </c>
      <c r="P181" s="58">
        <f t="shared" si="42"/>
        <v>0</v>
      </c>
      <c r="Q181" s="58">
        <f t="shared" si="42"/>
        <v>665520</v>
      </c>
      <c r="R181" s="58">
        <f>SUM(J170:J181)</f>
        <v>727176</v>
      </c>
      <c r="S181" s="29">
        <f>SUM(K170:K181)</f>
        <v>791952</v>
      </c>
      <c r="T181" s="29"/>
      <c r="U181" s="29"/>
      <c r="V181" s="29"/>
      <c r="W181" s="29"/>
    </row>
    <row r="182" spans="1:23" x14ac:dyDescent="0.3">
      <c r="A182" s="109">
        <v>157</v>
      </c>
      <c r="B182" s="58">
        <f t="shared" si="35"/>
        <v>4152257</v>
      </c>
      <c r="C182" s="116">
        <f t="shared" si="36"/>
        <v>44967</v>
      </c>
      <c r="D182" s="117">
        <f t="shared" si="37"/>
        <v>10493</v>
      </c>
      <c r="E182" s="297">
        <f t="shared" si="38"/>
        <v>39779</v>
      </c>
      <c r="F182" s="116">
        <f t="shared" si="30"/>
        <v>55460</v>
      </c>
      <c r="G182" s="117">
        <f t="shared" si="31"/>
        <v>0</v>
      </c>
      <c r="H182" s="116">
        <f t="shared" si="39"/>
        <v>55460</v>
      </c>
      <c r="I182" s="116">
        <f t="shared" si="32"/>
        <v>55785</v>
      </c>
      <c r="J182" s="119">
        <f t="shared" si="33"/>
        <v>60598</v>
      </c>
      <c r="K182" s="119">
        <f t="shared" si="34"/>
        <v>65996</v>
      </c>
      <c r="L182" s="110"/>
      <c r="M182" s="110"/>
      <c r="N182" s="110"/>
      <c r="O182" s="110"/>
      <c r="P182" s="110"/>
      <c r="Q182" s="110"/>
      <c r="R182" s="110"/>
    </row>
    <row r="183" spans="1:23" x14ac:dyDescent="0.3">
      <c r="A183" s="109">
        <v>158</v>
      </c>
      <c r="B183" s="58">
        <f t="shared" si="35"/>
        <v>4107178</v>
      </c>
      <c r="C183" s="116">
        <f t="shared" si="36"/>
        <v>45079</v>
      </c>
      <c r="D183" s="117">
        <f t="shared" si="37"/>
        <v>10381</v>
      </c>
      <c r="E183" s="297">
        <f t="shared" si="38"/>
        <v>39779</v>
      </c>
      <c r="F183" s="116">
        <f t="shared" si="30"/>
        <v>55460</v>
      </c>
      <c r="G183" s="117">
        <f t="shared" si="31"/>
        <v>0</v>
      </c>
      <c r="H183" s="116">
        <f t="shared" si="39"/>
        <v>55460</v>
      </c>
      <c r="I183" s="116">
        <f t="shared" si="32"/>
        <v>55785</v>
      </c>
      <c r="J183" s="119">
        <f t="shared" si="33"/>
        <v>60598</v>
      </c>
      <c r="K183" s="119">
        <f t="shared" si="34"/>
        <v>65996</v>
      </c>
      <c r="L183" s="110"/>
      <c r="M183" s="110"/>
      <c r="N183" s="110"/>
      <c r="O183" s="110"/>
      <c r="P183" s="110"/>
      <c r="Q183" s="110"/>
      <c r="R183" s="110"/>
    </row>
    <row r="184" spans="1:23" x14ac:dyDescent="0.3">
      <c r="A184" s="109">
        <v>159</v>
      </c>
      <c r="B184" s="58">
        <f t="shared" si="35"/>
        <v>4061986</v>
      </c>
      <c r="C184" s="116">
        <f t="shared" si="36"/>
        <v>45192</v>
      </c>
      <c r="D184" s="117">
        <f t="shared" si="37"/>
        <v>10268</v>
      </c>
      <c r="E184" s="297">
        <f t="shared" si="38"/>
        <v>39779</v>
      </c>
      <c r="F184" s="116">
        <f t="shared" si="30"/>
        <v>55460</v>
      </c>
      <c r="G184" s="117">
        <f t="shared" si="31"/>
        <v>0</v>
      </c>
      <c r="H184" s="116">
        <f t="shared" si="39"/>
        <v>55460</v>
      </c>
      <c r="I184" s="116">
        <f t="shared" si="32"/>
        <v>55785</v>
      </c>
      <c r="J184" s="119">
        <f t="shared" si="33"/>
        <v>60598</v>
      </c>
      <c r="K184" s="119">
        <f t="shared" si="34"/>
        <v>65996</v>
      </c>
      <c r="L184" s="110"/>
      <c r="M184" s="110"/>
      <c r="N184" s="110"/>
      <c r="O184" s="110"/>
      <c r="P184" s="110"/>
      <c r="Q184" s="110"/>
      <c r="R184" s="110"/>
    </row>
    <row r="185" spans="1:23" x14ac:dyDescent="0.3">
      <c r="A185" s="109">
        <v>160</v>
      </c>
      <c r="B185" s="58">
        <f t="shared" si="35"/>
        <v>4016681</v>
      </c>
      <c r="C185" s="116">
        <f t="shared" si="36"/>
        <v>45305</v>
      </c>
      <c r="D185" s="117">
        <f t="shared" si="37"/>
        <v>10155</v>
      </c>
      <c r="E185" s="297">
        <f t="shared" si="38"/>
        <v>39779</v>
      </c>
      <c r="F185" s="116">
        <f t="shared" si="30"/>
        <v>55460</v>
      </c>
      <c r="G185" s="117">
        <f t="shared" si="31"/>
        <v>0</v>
      </c>
      <c r="H185" s="116">
        <f t="shared" si="39"/>
        <v>55460</v>
      </c>
      <c r="I185" s="116">
        <f t="shared" si="32"/>
        <v>55785</v>
      </c>
      <c r="J185" s="119">
        <f t="shared" si="33"/>
        <v>60598</v>
      </c>
      <c r="K185" s="119">
        <f t="shared" si="34"/>
        <v>65996</v>
      </c>
      <c r="L185" s="110"/>
      <c r="M185" s="110"/>
      <c r="N185" s="110"/>
      <c r="O185" s="110"/>
      <c r="P185" s="110"/>
      <c r="Q185" s="110"/>
      <c r="R185" s="110"/>
    </row>
    <row r="186" spans="1:23" x14ac:dyDescent="0.3">
      <c r="A186" s="109">
        <v>161</v>
      </c>
      <c r="B186" s="58">
        <f t="shared" si="35"/>
        <v>3971263</v>
      </c>
      <c r="C186" s="116">
        <f t="shared" si="36"/>
        <v>45418</v>
      </c>
      <c r="D186" s="117">
        <f t="shared" si="37"/>
        <v>10042</v>
      </c>
      <c r="E186" s="297">
        <f t="shared" si="38"/>
        <v>39779</v>
      </c>
      <c r="F186" s="116">
        <f t="shared" si="30"/>
        <v>55460</v>
      </c>
      <c r="G186" s="117">
        <f t="shared" si="31"/>
        <v>0</v>
      </c>
      <c r="H186" s="116">
        <f t="shared" si="39"/>
        <v>55460</v>
      </c>
      <c r="I186" s="116">
        <f t="shared" si="32"/>
        <v>55785</v>
      </c>
      <c r="J186" s="119">
        <f t="shared" si="33"/>
        <v>60598</v>
      </c>
      <c r="K186" s="119">
        <f t="shared" si="34"/>
        <v>65996</v>
      </c>
      <c r="L186" s="110"/>
      <c r="M186" s="110"/>
      <c r="N186" s="110"/>
      <c r="O186" s="110"/>
      <c r="P186" s="110"/>
      <c r="Q186" s="110"/>
      <c r="R186" s="110"/>
    </row>
    <row r="187" spans="1:23" x14ac:dyDescent="0.3">
      <c r="A187" s="109">
        <v>162</v>
      </c>
      <c r="B187" s="58">
        <f t="shared" si="35"/>
        <v>3925731</v>
      </c>
      <c r="C187" s="116">
        <f t="shared" si="36"/>
        <v>45532</v>
      </c>
      <c r="D187" s="117">
        <f t="shared" si="37"/>
        <v>9928</v>
      </c>
      <c r="E187" s="297">
        <f t="shared" si="38"/>
        <v>39779</v>
      </c>
      <c r="F187" s="116">
        <f t="shared" si="30"/>
        <v>55460</v>
      </c>
      <c r="G187" s="117">
        <f t="shared" si="31"/>
        <v>0</v>
      </c>
      <c r="H187" s="116">
        <f t="shared" si="39"/>
        <v>55460</v>
      </c>
      <c r="I187" s="116">
        <f t="shared" si="32"/>
        <v>55785</v>
      </c>
      <c r="J187" s="119">
        <f t="shared" si="33"/>
        <v>60598</v>
      </c>
      <c r="K187" s="119">
        <f t="shared" si="34"/>
        <v>65996</v>
      </c>
      <c r="L187" s="110"/>
      <c r="M187" s="110"/>
      <c r="N187" s="110"/>
      <c r="O187" s="110"/>
      <c r="P187" s="110"/>
      <c r="Q187" s="110"/>
      <c r="R187" s="110"/>
    </row>
    <row r="188" spans="1:23" x14ac:dyDescent="0.3">
      <c r="A188" s="109">
        <v>163</v>
      </c>
      <c r="B188" s="58">
        <f t="shared" si="35"/>
        <v>3880085</v>
      </c>
      <c r="C188" s="116">
        <f t="shared" si="36"/>
        <v>45646</v>
      </c>
      <c r="D188" s="117">
        <f t="shared" si="37"/>
        <v>9814</v>
      </c>
      <c r="E188" s="297">
        <f t="shared" si="38"/>
        <v>39779</v>
      </c>
      <c r="F188" s="116">
        <f t="shared" si="30"/>
        <v>55460</v>
      </c>
      <c r="G188" s="117">
        <f t="shared" si="31"/>
        <v>0</v>
      </c>
      <c r="H188" s="116">
        <f t="shared" si="39"/>
        <v>55460</v>
      </c>
      <c r="I188" s="116">
        <f t="shared" si="32"/>
        <v>55785</v>
      </c>
      <c r="J188" s="119">
        <f t="shared" si="33"/>
        <v>60598</v>
      </c>
      <c r="K188" s="119">
        <f t="shared" si="34"/>
        <v>65996</v>
      </c>
      <c r="L188" s="110"/>
      <c r="M188" s="110"/>
      <c r="N188" s="110"/>
      <c r="O188" s="110"/>
      <c r="P188" s="110"/>
      <c r="Q188" s="110"/>
      <c r="R188" s="110"/>
    </row>
    <row r="189" spans="1:23" x14ac:dyDescent="0.3">
      <c r="A189" s="109">
        <v>164</v>
      </c>
      <c r="B189" s="58">
        <f t="shared" si="35"/>
        <v>3834325</v>
      </c>
      <c r="C189" s="116">
        <f t="shared" si="36"/>
        <v>45760</v>
      </c>
      <c r="D189" s="117">
        <f t="shared" si="37"/>
        <v>9700</v>
      </c>
      <c r="E189" s="297">
        <f t="shared" si="38"/>
        <v>39779</v>
      </c>
      <c r="F189" s="116">
        <f t="shared" si="30"/>
        <v>55460</v>
      </c>
      <c r="G189" s="117">
        <f t="shared" si="31"/>
        <v>0</v>
      </c>
      <c r="H189" s="116">
        <f t="shared" si="39"/>
        <v>55460</v>
      </c>
      <c r="I189" s="116">
        <f t="shared" si="32"/>
        <v>55785</v>
      </c>
      <c r="J189" s="119">
        <f t="shared" si="33"/>
        <v>60598</v>
      </c>
      <c r="K189" s="119">
        <f t="shared" si="34"/>
        <v>65996</v>
      </c>
      <c r="L189" s="110"/>
      <c r="M189" s="110"/>
      <c r="N189" s="110"/>
      <c r="O189" s="110"/>
      <c r="P189" s="110"/>
      <c r="Q189" s="110"/>
      <c r="R189" s="110"/>
    </row>
    <row r="190" spans="1:23" x14ac:dyDescent="0.3">
      <c r="A190" s="109">
        <v>165</v>
      </c>
      <c r="B190" s="58">
        <f t="shared" si="35"/>
        <v>3788451</v>
      </c>
      <c r="C190" s="116">
        <f t="shared" si="36"/>
        <v>45874</v>
      </c>
      <c r="D190" s="117">
        <f t="shared" si="37"/>
        <v>9586</v>
      </c>
      <c r="E190" s="297">
        <f t="shared" si="38"/>
        <v>39779</v>
      </c>
      <c r="F190" s="116">
        <f t="shared" si="30"/>
        <v>55460</v>
      </c>
      <c r="G190" s="117">
        <f t="shared" si="31"/>
        <v>0</v>
      </c>
      <c r="H190" s="116">
        <f t="shared" si="39"/>
        <v>55460</v>
      </c>
      <c r="I190" s="116">
        <f t="shared" si="32"/>
        <v>55785</v>
      </c>
      <c r="J190" s="119">
        <f t="shared" si="33"/>
        <v>60598</v>
      </c>
      <c r="K190" s="119">
        <f t="shared" si="34"/>
        <v>65996</v>
      </c>
      <c r="L190" s="110"/>
      <c r="M190" s="110"/>
      <c r="N190" s="110"/>
      <c r="O190" s="110"/>
      <c r="P190" s="110"/>
      <c r="Q190" s="110"/>
      <c r="R190" s="110"/>
    </row>
    <row r="191" spans="1:23" x14ac:dyDescent="0.3">
      <c r="A191" s="109">
        <v>166</v>
      </c>
      <c r="B191" s="58">
        <f t="shared" si="35"/>
        <v>3742462</v>
      </c>
      <c r="C191" s="116">
        <f t="shared" si="36"/>
        <v>45989</v>
      </c>
      <c r="D191" s="117">
        <f t="shared" si="37"/>
        <v>9471</v>
      </c>
      <c r="E191" s="297">
        <f t="shared" si="38"/>
        <v>39779</v>
      </c>
      <c r="F191" s="116">
        <f t="shared" si="30"/>
        <v>55460</v>
      </c>
      <c r="G191" s="117">
        <f t="shared" si="31"/>
        <v>0</v>
      </c>
      <c r="H191" s="116">
        <f t="shared" si="39"/>
        <v>55460</v>
      </c>
      <c r="I191" s="116">
        <f t="shared" si="32"/>
        <v>55785</v>
      </c>
      <c r="J191" s="119">
        <f t="shared" si="33"/>
        <v>60598</v>
      </c>
      <c r="K191" s="119">
        <f t="shared" si="34"/>
        <v>65996</v>
      </c>
      <c r="L191" s="110"/>
      <c r="M191" s="110"/>
      <c r="N191" s="110"/>
      <c r="O191" s="110"/>
      <c r="P191" s="110"/>
      <c r="Q191" s="110"/>
      <c r="R191" s="110"/>
    </row>
    <row r="192" spans="1:23" x14ac:dyDescent="0.3">
      <c r="A192" s="109">
        <v>167</v>
      </c>
      <c r="B192" s="58">
        <f t="shared" si="35"/>
        <v>3696358</v>
      </c>
      <c r="C192" s="116">
        <f t="shared" si="36"/>
        <v>46104</v>
      </c>
      <c r="D192" s="117">
        <f t="shared" si="37"/>
        <v>9356</v>
      </c>
      <c r="E192" s="297">
        <f t="shared" si="38"/>
        <v>39779</v>
      </c>
      <c r="F192" s="116">
        <f t="shared" si="30"/>
        <v>55460</v>
      </c>
      <c r="G192" s="117">
        <f t="shared" si="31"/>
        <v>0</v>
      </c>
      <c r="H192" s="116">
        <f t="shared" si="39"/>
        <v>55460</v>
      </c>
      <c r="I192" s="116">
        <f t="shared" si="32"/>
        <v>55785</v>
      </c>
      <c r="J192" s="119">
        <f t="shared" si="33"/>
        <v>60598</v>
      </c>
      <c r="K192" s="119">
        <f t="shared" si="34"/>
        <v>65996</v>
      </c>
      <c r="L192" s="110"/>
      <c r="M192" s="110"/>
      <c r="N192" s="110"/>
      <c r="O192" s="110"/>
      <c r="P192" s="110"/>
      <c r="Q192" s="110"/>
      <c r="R192" s="110"/>
    </row>
    <row r="193" spans="1:23" x14ac:dyDescent="0.3">
      <c r="A193" s="109">
        <v>168</v>
      </c>
      <c r="B193" s="58">
        <f t="shared" si="35"/>
        <v>3650139</v>
      </c>
      <c r="C193" s="116">
        <f t="shared" si="36"/>
        <v>46219</v>
      </c>
      <c r="D193" s="117">
        <f t="shared" si="37"/>
        <v>9241</v>
      </c>
      <c r="E193" s="297">
        <f t="shared" si="38"/>
        <v>39779</v>
      </c>
      <c r="F193" s="116">
        <f t="shared" si="30"/>
        <v>55460</v>
      </c>
      <c r="G193" s="117">
        <f t="shared" si="31"/>
        <v>0</v>
      </c>
      <c r="H193" s="116">
        <f t="shared" si="39"/>
        <v>55460</v>
      </c>
      <c r="I193" s="116">
        <f t="shared" si="32"/>
        <v>55785</v>
      </c>
      <c r="J193" s="119">
        <f t="shared" si="33"/>
        <v>60598</v>
      </c>
      <c r="K193" s="119">
        <f t="shared" si="34"/>
        <v>65996</v>
      </c>
      <c r="L193" s="58">
        <f t="shared" ref="L193:Q193" si="43">SUM(C182:C193)</f>
        <v>547085</v>
      </c>
      <c r="M193" s="58">
        <f t="shared" si="43"/>
        <v>118435</v>
      </c>
      <c r="N193" s="58">
        <f t="shared" si="43"/>
        <v>477348</v>
      </c>
      <c r="O193" s="58">
        <f t="shared" si="43"/>
        <v>665520</v>
      </c>
      <c r="P193" s="58">
        <f t="shared" si="43"/>
        <v>0</v>
      </c>
      <c r="Q193" s="58">
        <f t="shared" si="43"/>
        <v>665520</v>
      </c>
      <c r="R193" s="58">
        <f>SUM(J182:J193)</f>
        <v>727176</v>
      </c>
      <c r="S193" s="29">
        <f>SUM(K182:K193)</f>
        <v>791952</v>
      </c>
      <c r="T193" s="29"/>
      <c r="U193" s="29"/>
      <c r="V193" s="29"/>
      <c r="W193" s="29"/>
    </row>
    <row r="194" spans="1:23" x14ac:dyDescent="0.3">
      <c r="A194" s="109">
        <v>169</v>
      </c>
      <c r="B194" s="58">
        <f t="shared" si="35"/>
        <v>3603804</v>
      </c>
      <c r="C194" s="116">
        <f t="shared" si="36"/>
        <v>46335</v>
      </c>
      <c r="D194" s="117">
        <f t="shared" si="37"/>
        <v>9125</v>
      </c>
      <c r="E194" s="297">
        <f t="shared" si="38"/>
        <v>39779</v>
      </c>
      <c r="F194" s="116">
        <f t="shared" si="30"/>
        <v>55460</v>
      </c>
      <c r="G194" s="117">
        <f t="shared" si="31"/>
        <v>0</v>
      </c>
      <c r="H194" s="116">
        <f t="shared" si="39"/>
        <v>55460</v>
      </c>
      <c r="I194" s="116">
        <f t="shared" si="32"/>
        <v>55785</v>
      </c>
      <c r="J194" s="119">
        <f t="shared" si="33"/>
        <v>60598</v>
      </c>
      <c r="K194" s="119">
        <f t="shared" si="34"/>
        <v>65996</v>
      </c>
      <c r="L194" s="110"/>
      <c r="M194" s="110"/>
      <c r="N194" s="110"/>
      <c r="O194" s="110"/>
      <c r="P194" s="110"/>
      <c r="Q194" s="110"/>
      <c r="R194" s="110"/>
    </row>
    <row r="195" spans="1:23" x14ac:dyDescent="0.3">
      <c r="A195" s="109">
        <v>170</v>
      </c>
      <c r="B195" s="58">
        <f t="shared" si="35"/>
        <v>3557354</v>
      </c>
      <c r="C195" s="116">
        <f t="shared" si="36"/>
        <v>46450</v>
      </c>
      <c r="D195" s="117">
        <f t="shared" si="37"/>
        <v>9010</v>
      </c>
      <c r="E195" s="297">
        <f t="shared" si="38"/>
        <v>39779</v>
      </c>
      <c r="F195" s="116">
        <f t="shared" si="30"/>
        <v>55460</v>
      </c>
      <c r="G195" s="117">
        <f t="shared" si="31"/>
        <v>0</v>
      </c>
      <c r="H195" s="116">
        <f t="shared" si="39"/>
        <v>55460</v>
      </c>
      <c r="I195" s="116">
        <f t="shared" si="32"/>
        <v>55785</v>
      </c>
      <c r="J195" s="119">
        <f t="shared" si="33"/>
        <v>60598</v>
      </c>
      <c r="K195" s="119">
        <f t="shared" si="34"/>
        <v>65996</v>
      </c>
      <c r="L195" s="110"/>
      <c r="M195" s="110"/>
      <c r="N195" s="110"/>
      <c r="O195" s="110"/>
      <c r="P195" s="110"/>
      <c r="Q195" s="110"/>
      <c r="R195" s="110"/>
    </row>
    <row r="196" spans="1:23" x14ac:dyDescent="0.3">
      <c r="A196" s="109">
        <v>171</v>
      </c>
      <c r="B196" s="58">
        <f t="shared" si="35"/>
        <v>3510787</v>
      </c>
      <c r="C196" s="116">
        <f t="shared" si="36"/>
        <v>46567</v>
      </c>
      <c r="D196" s="117">
        <f t="shared" si="37"/>
        <v>8893</v>
      </c>
      <c r="E196" s="297">
        <f t="shared" si="38"/>
        <v>39779</v>
      </c>
      <c r="F196" s="116">
        <f t="shared" si="30"/>
        <v>55460</v>
      </c>
      <c r="G196" s="117">
        <f t="shared" si="31"/>
        <v>0</v>
      </c>
      <c r="H196" s="116">
        <f t="shared" si="39"/>
        <v>55460</v>
      </c>
      <c r="I196" s="116">
        <f t="shared" si="32"/>
        <v>55785</v>
      </c>
      <c r="J196" s="119">
        <f t="shared" si="33"/>
        <v>60598</v>
      </c>
      <c r="K196" s="119">
        <f t="shared" si="34"/>
        <v>65996</v>
      </c>
      <c r="L196" s="110"/>
      <c r="M196" s="110"/>
      <c r="N196" s="110"/>
      <c r="O196" s="110"/>
      <c r="P196" s="110"/>
      <c r="Q196" s="110"/>
      <c r="R196" s="110"/>
    </row>
    <row r="197" spans="1:23" x14ac:dyDescent="0.3">
      <c r="A197" s="109">
        <v>172</v>
      </c>
      <c r="B197" s="58">
        <f t="shared" si="35"/>
        <v>3464104</v>
      </c>
      <c r="C197" s="116">
        <f t="shared" si="36"/>
        <v>46683</v>
      </c>
      <c r="D197" s="117">
        <f t="shared" si="37"/>
        <v>8777</v>
      </c>
      <c r="E197" s="297">
        <f t="shared" si="38"/>
        <v>39779</v>
      </c>
      <c r="F197" s="116">
        <f t="shared" si="30"/>
        <v>55460</v>
      </c>
      <c r="G197" s="117">
        <f t="shared" si="31"/>
        <v>0</v>
      </c>
      <c r="H197" s="116">
        <f t="shared" si="39"/>
        <v>55460</v>
      </c>
      <c r="I197" s="116">
        <f t="shared" si="32"/>
        <v>55785</v>
      </c>
      <c r="J197" s="119">
        <f t="shared" si="33"/>
        <v>60598</v>
      </c>
      <c r="K197" s="119">
        <f t="shared" si="34"/>
        <v>65996</v>
      </c>
      <c r="L197" s="110"/>
      <c r="M197" s="110"/>
      <c r="N197" s="110"/>
      <c r="O197" s="110"/>
      <c r="P197" s="110"/>
      <c r="Q197" s="110"/>
      <c r="R197" s="110"/>
    </row>
    <row r="198" spans="1:23" x14ac:dyDescent="0.3">
      <c r="A198" s="109">
        <v>173</v>
      </c>
      <c r="B198" s="58">
        <f t="shared" si="35"/>
        <v>3417304</v>
      </c>
      <c r="C198" s="116">
        <f t="shared" si="36"/>
        <v>46800</v>
      </c>
      <c r="D198" s="117">
        <f t="shared" si="37"/>
        <v>8660</v>
      </c>
      <c r="E198" s="297">
        <f t="shared" si="38"/>
        <v>39779</v>
      </c>
      <c r="F198" s="116">
        <f t="shared" si="30"/>
        <v>55460</v>
      </c>
      <c r="G198" s="117">
        <f t="shared" si="31"/>
        <v>0</v>
      </c>
      <c r="H198" s="116">
        <f t="shared" si="39"/>
        <v>55460</v>
      </c>
      <c r="I198" s="116">
        <f t="shared" si="32"/>
        <v>55785</v>
      </c>
      <c r="J198" s="119">
        <f t="shared" si="33"/>
        <v>60598</v>
      </c>
      <c r="K198" s="119">
        <f t="shared" si="34"/>
        <v>65996</v>
      </c>
      <c r="L198" s="110"/>
      <c r="M198" s="110"/>
      <c r="N198" s="110"/>
      <c r="O198" s="110"/>
      <c r="P198" s="110"/>
      <c r="Q198" s="110"/>
      <c r="R198" s="110"/>
    </row>
    <row r="199" spans="1:23" x14ac:dyDescent="0.3">
      <c r="A199" s="109">
        <v>174</v>
      </c>
      <c r="B199" s="58">
        <f t="shared" si="35"/>
        <v>3370387</v>
      </c>
      <c r="C199" s="116">
        <f t="shared" si="36"/>
        <v>46917</v>
      </c>
      <c r="D199" s="117">
        <f t="shared" si="37"/>
        <v>8543</v>
      </c>
      <c r="E199" s="297">
        <f t="shared" si="38"/>
        <v>39779</v>
      </c>
      <c r="F199" s="116">
        <f t="shared" si="30"/>
        <v>55460</v>
      </c>
      <c r="G199" s="117">
        <f t="shared" si="31"/>
        <v>0</v>
      </c>
      <c r="H199" s="116">
        <f t="shared" si="39"/>
        <v>55460</v>
      </c>
      <c r="I199" s="116">
        <f t="shared" si="32"/>
        <v>55785</v>
      </c>
      <c r="J199" s="119">
        <f t="shared" si="33"/>
        <v>60598</v>
      </c>
      <c r="K199" s="119">
        <f t="shared" si="34"/>
        <v>65996</v>
      </c>
      <c r="L199" s="110"/>
      <c r="M199" s="110"/>
      <c r="N199" s="110"/>
      <c r="O199" s="110"/>
      <c r="P199" s="110"/>
      <c r="Q199" s="110"/>
      <c r="R199" s="110"/>
    </row>
    <row r="200" spans="1:23" x14ac:dyDescent="0.3">
      <c r="A200" s="109">
        <v>175</v>
      </c>
      <c r="B200" s="58">
        <f t="shared" si="35"/>
        <v>3323353</v>
      </c>
      <c r="C200" s="116">
        <f t="shared" si="36"/>
        <v>47034</v>
      </c>
      <c r="D200" s="117">
        <f t="shared" si="37"/>
        <v>8426</v>
      </c>
      <c r="E200" s="297">
        <f t="shared" si="38"/>
        <v>39779</v>
      </c>
      <c r="F200" s="116">
        <f t="shared" si="30"/>
        <v>55460</v>
      </c>
      <c r="G200" s="117">
        <f t="shared" si="31"/>
        <v>0</v>
      </c>
      <c r="H200" s="116">
        <f t="shared" si="39"/>
        <v>55460</v>
      </c>
      <c r="I200" s="116">
        <f t="shared" si="32"/>
        <v>55785</v>
      </c>
      <c r="J200" s="119">
        <f t="shared" si="33"/>
        <v>60598</v>
      </c>
      <c r="K200" s="119">
        <f t="shared" si="34"/>
        <v>65996</v>
      </c>
      <c r="L200" s="110"/>
      <c r="M200" s="110"/>
      <c r="N200" s="110"/>
      <c r="O200" s="110"/>
      <c r="P200" s="110"/>
      <c r="Q200" s="110"/>
      <c r="R200" s="110"/>
    </row>
    <row r="201" spans="1:23" x14ac:dyDescent="0.3">
      <c r="A201" s="109">
        <v>176</v>
      </c>
      <c r="B201" s="58">
        <f t="shared" si="35"/>
        <v>3276201</v>
      </c>
      <c r="C201" s="116">
        <f t="shared" si="36"/>
        <v>47152</v>
      </c>
      <c r="D201" s="117">
        <f t="shared" si="37"/>
        <v>8308</v>
      </c>
      <c r="E201" s="297">
        <f t="shared" si="38"/>
        <v>39779</v>
      </c>
      <c r="F201" s="116">
        <f t="shared" si="30"/>
        <v>55460</v>
      </c>
      <c r="G201" s="117">
        <f t="shared" si="31"/>
        <v>0</v>
      </c>
      <c r="H201" s="116">
        <f t="shared" si="39"/>
        <v>55460</v>
      </c>
      <c r="I201" s="116">
        <f t="shared" si="32"/>
        <v>55785</v>
      </c>
      <c r="J201" s="119">
        <f t="shared" si="33"/>
        <v>60598</v>
      </c>
      <c r="K201" s="119">
        <f t="shared" si="34"/>
        <v>65996</v>
      </c>
      <c r="L201" s="110"/>
      <c r="M201" s="110"/>
      <c r="N201" s="110"/>
      <c r="O201" s="110"/>
      <c r="P201" s="110"/>
      <c r="Q201" s="110"/>
      <c r="R201" s="110"/>
    </row>
    <row r="202" spans="1:23" x14ac:dyDescent="0.3">
      <c r="A202" s="109">
        <v>177</v>
      </c>
      <c r="B202" s="58">
        <f t="shared" si="35"/>
        <v>3228932</v>
      </c>
      <c r="C202" s="116">
        <f t="shared" si="36"/>
        <v>47269</v>
      </c>
      <c r="D202" s="117">
        <f t="shared" si="37"/>
        <v>8191</v>
      </c>
      <c r="E202" s="297">
        <f t="shared" si="38"/>
        <v>39779</v>
      </c>
      <c r="F202" s="116">
        <f t="shared" si="30"/>
        <v>55460</v>
      </c>
      <c r="G202" s="117">
        <f t="shared" si="31"/>
        <v>0</v>
      </c>
      <c r="H202" s="116">
        <f t="shared" si="39"/>
        <v>55460</v>
      </c>
      <c r="I202" s="116">
        <f t="shared" si="32"/>
        <v>55785</v>
      </c>
      <c r="J202" s="119">
        <f t="shared" si="33"/>
        <v>60598</v>
      </c>
      <c r="K202" s="119">
        <f t="shared" si="34"/>
        <v>65996</v>
      </c>
      <c r="L202" s="110"/>
      <c r="M202" s="110"/>
      <c r="N202" s="110"/>
      <c r="O202" s="110"/>
      <c r="P202" s="110"/>
      <c r="Q202" s="110"/>
      <c r="R202" s="110"/>
    </row>
    <row r="203" spans="1:23" x14ac:dyDescent="0.3">
      <c r="A203" s="109">
        <v>178</v>
      </c>
      <c r="B203" s="58">
        <f t="shared" si="35"/>
        <v>3181544</v>
      </c>
      <c r="C203" s="116">
        <f t="shared" si="36"/>
        <v>47388</v>
      </c>
      <c r="D203" s="117">
        <f t="shared" si="37"/>
        <v>8072</v>
      </c>
      <c r="E203" s="297">
        <f t="shared" si="38"/>
        <v>39779</v>
      </c>
      <c r="F203" s="116">
        <f t="shared" si="30"/>
        <v>55460</v>
      </c>
      <c r="G203" s="117">
        <f t="shared" si="31"/>
        <v>0</v>
      </c>
      <c r="H203" s="116">
        <f t="shared" si="39"/>
        <v>55460</v>
      </c>
      <c r="I203" s="116">
        <f t="shared" si="32"/>
        <v>55785</v>
      </c>
      <c r="J203" s="119">
        <f t="shared" si="33"/>
        <v>60598</v>
      </c>
      <c r="K203" s="119">
        <f t="shared" si="34"/>
        <v>65996</v>
      </c>
      <c r="L203" s="110"/>
      <c r="M203" s="110"/>
      <c r="N203" s="110"/>
      <c r="O203" s="110"/>
      <c r="P203" s="110"/>
      <c r="Q203" s="110"/>
      <c r="R203" s="110"/>
    </row>
    <row r="204" spans="1:23" x14ac:dyDescent="0.3">
      <c r="A204" s="109">
        <v>179</v>
      </c>
      <c r="B204" s="58">
        <f t="shared" si="35"/>
        <v>3134038</v>
      </c>
      <c r="C204" s="116">
        <f t="shared" si="36"/>
        <v>47506</v>
      </c>
      <c r="D204" s="117">
        <f t="shared" si="37"/>
        <v>7954</v>
      </c>
      <c r="E204" s="297">
        <f t="shared" si="38"/>
        <v>39779</v>
      </c>
      <c r="F204" s="116">
        <f t="shared" si="30"/>
        <v>55460</v>
      </c>
      <c r="G204" s="117">
        <f t="shared" si="31"/>
        <v>0</v>
      </c>
      <c r="H204" s="116">
        <f t="shared" si="39"/>
        <v>55460</v>
      </c>
      <c r="I204" s="116">
        <f t="shared" si="32"/>
        <v>55785</v>
      </c>
      <c r="J204" s="119">
        <f t="shared" si="33"/>
        <v>60598</v>
      </c>
      <c r="K204" s="119">
        <f t="shared" si="34"/>
        <v>65996</v>
      </c>
      <c r="L204" s="110"/>
      <c r="M204" s="110"/>
      <c r="N204" s="110"/>
      <c r="O204" s="110"/>
      <c r="P204" s="110"/>
      <c r="Q204" s="110"/>
      <c r="R204" s="110"/>
    </row>
    <row r="205" spans="1:23" x14ac:dyDescent="0.3">
      <c r="A205" s="109">
        <v>180</v>
      </c>
      <c r="B205" s="58">
        <f t="shared" si="35"/>
        <v>3086413</v>
      </c>
      <c r="C205" s="116">
        <f t="shared" si="36"/>
        <v>47625</v>
      </c>
      <c r="D205" s="117">
        <f t="shared" si="37"/>
        <v>7835</v>
      </c>
      <c r="E205" s="297">
        <f t="shared" si="38"/>
        <v>39779</v>
      </c>
      <c r="F205" s="116">
        <f t="shared" si="30"/>
        <v>55460</v>
      </c>
      <c r="G205" s="117">
        <f t="shared" si="31"/>
        <v>0</v>
      </c>
      <c r="H205" s="116">
        <f t="shared" si="39"/>
        <v>55460</v>
      </c>
      <c r="I205" s="116">
        <f t="shared" si="32"/>
        <v>55785</v>
      </c>
      <c r="J205" s="119">
        <f t="shared" si="33"/>
        <v>60598</v>
      </c>
      <c r="K205" s="119">
        <f t="shared" si="34"/>
        <v>65996</v>
      </c>
      <c r="L205" s="58">
        <f t="shared" ref="L205:Q205" si="44">SUM(C194:C205)</f>
        <v>563726</v>
      </c>
      <c r="M205" s="58">
        <f t="shared" si="44"/>
        <v>101794</v>
      </c>
      <c r="N205" s="58">
        <f t="shared" si="44"/>
        <v>477348</v>
      </c>
      <c r="O205" s="58">
        <f t="shared" si="44"/>
        <v>665520</v>
      </c>
      <c r="P205" s="58">
        <f t="shared" si="44"/>
        <v>0</v>
      </c>
      <c r="Q205" s="58">
        <f t="shared" si="44"/>
        <v>665520</v>
      </c>
      <c r="R205" s="58">
        <f>SUM(J194:J205)</f>
        <v>727176</v>
      </c>
      <c r="S205" s="29">
        <f>SUM(K194:K205)</f>
        <v>791952</v>
      </c>
      <c r="T205" s="29"/>
      <c r="U205" s="29"/>
      <c r="V205" s="29"/>
      <c r="W205" s="29"/>
    </row>
    <row r="206" spans="1:23" x14ac:dyDescent="0.3">
      <c r="A206" s="109">
        <v>181</v>
      </c>
      <c r="B206" s="58">
        <f t="shared" si="35"/>
        <v>3038669</v>
      </c>
      <c r="C206" s="116">
        <f t="shared" si="36"/>
        <v>47744</v>
      </c>
      <c r="D206" s="117">
        <f t="shared" si="37"/>
        <v>7716</v>
      </c>
      <c r="E206" s="297">
        <f t="shared" si="38"/>
        <v>39779</v>
      </c>
      <c r="F206" s="116">
        <f t="shared" si="30"/>
        <v>55460</v>
      </c>
      <c r="G206" s="117">
        <f t="shared" si="31"/>
        <v>0</v>
      </c>
      <c r="H206" s="116">
        <f t="shared" si="39"/>
        <v>55460</v>
      </c>
      <c r="I206" s="116">
        <f t="shared" si="32"/>
        <v>55785</v>
      </c>
      <c r="J206" s="119">
        <f t="shared" si="33"/>
        <v>60598</v>
      </c>
      <c r="K206" s="119">
        <f t="shared" si="34"/>
        <v>65996</v>
      </c>
      <c r="L206" s="110"/>
      <c r="M206" s="110"/>
      <c r="N206" s="110"/>
      <c r="O206" s="110"/>
      <c r="P206" s="110"/>
      <c r="Q206" s="110"/>
      <c r="R206" s="110"/>
    </row>
    <row r="207" spans="1:23" x14ac:dyDescent="0.3">
      <c r="A207" s="109">
        <v>182</v>
      </c>
      <c r="B207" s="58">
        <f t="shared" si="35"/>
        <v>2990806</v>
      </c>
      <c r="C207" s="116">
        <f t="shared" si="36"/>
        <v>47863</v>
      </c>
      <c r="D207" s="117">
        <f t="shared" si="37"/>
        <v>7597</v>
      </c>
      <c r="E207" s="297">
        <f t="shared" si="38"/>
        <v>39779</v>
      </c>
      <c r="F207" s="116">
        <f t="shared" si="30"/>
        <v>55460</v>
      </c>
      <c r="G207" s="117">
        <f t="shared" si="31"/>
        <v>0</v>
      </c>
      <c r="H207" s="116">
        <f t="shared" si="39"/>
        <v>55460</v>
      </c>
      <c r="I207" s="116">
        <f t="shared" si="32"/>
        <v>55785</v>
      </c>
      <c r="J207" s="119">
        <f t="shared" si="33"/>
        <v>60598</v>
      </c>
      <c r="K207" s="119">
        <f t="shared" si="34"/>
        <v>65996</v>
      </c>
      <c r="L207" s="110"/>
      <c r="M207" s="110"/>
      <c r="N207" s="110"/>
      <c r="O207" s="110"/>
      <c r="P207" s="110"/>
      <c r="Q207" s="110"/>
      <c r="R207" s="110"/>
    </row>
    <row r="208" spans="1:23" x14ac:dyDescent="0.3">
      <c r="A208" s="109">
        <v>183</v>
      </c>
      <c r="B208" s="58">
        <f t="shared" si="35"/>
        <v>2942823</v>
      </c>
      <c r="C208" s="116">
        <f t="shared" si="36"/>
        <v>47983</v>
      </c>
      <c r="D208" s="117">
        <f t="shared" si="37"/>
        <v>7477</v>
      </c>
      <c r="E208" s="297">
        <f t="shared" si="38"/>
        <v>39779</v>
      </c>
      <c r="F208" s="116">
        <f t="shared" si="30"/>
        <v>55460</v>
      </c>
      <c r="G208" s="117">
        <f t="shared" si="31"/>
        <v>0</v>
      </c>
      <c r="H208" s="116">
        <f t="shared" si="39"/>
        <v>55460</v>
      </c>
      <c r="I208" s="116">
        <f t="shared" si="32"/>
        <v>55785</v>
      </c>
      <c r="J208" s="119">
        <f t="shared" si="33"/>
        <v>60598</v>
      </c>
      <c r="K208" s="119">
        <f t="shared" si="34"/>
        <v>65996</v>
      </c>
      <c r="L208" s="110"/>
      <c r="M208" s="110"/>
      <c r="N208" s="110"/>
      <c r="O208" s="110"/>
      <c r="P208" s="110"/>
      <c r="Q208" s="110"/>
      <c r="R208" s="110"/>
    </row>
    <row r="209" spans="1:23" x14ac:dyDescent="0.3">
      <c r="A209" s="109">
        <v>184</v>
      </c>
      <c r="B209" s="58">
        <f t="shared" si="35"/>
        <v>2894720</v>
      </c>
      <c r="C209" s="116">
        <f t="shared" si="36"/>
        <v>48103</v>
      </c>
      <c r="D209" s="117">
        <f t="shared" si="37"/>
        <v>7357</v>
      </c>
      <c r="E209" s="297">
        <f t="shared" si="38"/>
        <v>39779</v>
      </c>
      <c r="F209" s="116">
        <f t="shared" si="30"/>
        <v>55460</v>
      </c>
      <c r="G209" s="117">
        <f t="shared" si="31"/>
        <v>0</v>
      </c>
      <c r="H209" s="116">
        <f t="shared" si="39"/>
        <v>55460</v>
      </c>
      <c r="I209" s="116">
        <f t="shared" si="32"/>
        <v>55785</v>
      </c>
      <c r="J209" s="119">
        <f t="shared" si="33"/>
        <v>60598</v>
      </c>
      <c r="K209" s="119">
        <f t="shared" si="34"/>
        <v>65996</v>
      </c>
      <c r="L209" s="110"/>
      <c r="M209" s="110"/>
      <c r="N209" s="110"/>
      <c r="O209" s="110"/>
      <c r="P209" s="110"/>
      <c r="Q209" s="110"/>
      <c r="R209" s="110"/>
    </row>
    <row r="210" spans="1:23" x14ac:dyDescent="0.3">
      <c r="A210" s="109">
        <v>185</v>
      </c>
      <c r="B210" s="58">
        <f t="shared" si="35"/>
        <v>2846497</v>
      </c>
      <c r="C210" s="116">
        <f t="shared" si="36"/>
        <v>48223</v>
      </c>
      <c r="D210" s="117">
        <f t="shared" si="37"/>
        <v>7237</v>
      </c>
      <c r="E210" s="297">
        <f t="shared" si="38"/>
        <v>39779</v>
      </c>
      <c r="F210" s="116">
        <f t="shared" si="30"/>
        <v>55460</v>
      </c>
      <c r="G210" s="117">
        <f t="shared" si="31"/>
        <v>0</v>
      </c>
      <c r="H210" s="116">
        <f t="shared" si="39"/>
        <v>55460</v>
      </c>
      <c r="I210" s="116">
        <f t="shared" si="32"/>
        <v>55785</v>
      </c>
      <c r="J210" s="119">
        <f t="shared" si="33"/>
        <v>60598</v>
      </c>
      <c r="K210" s="119">
        <f t="shared" si="34"/>
        <v>65996</v>
      </c>
      <c r="L210" s="110"/>
      <c r="M210" s="110"/>
      <c r="N210" s="110"/>
      <c r="O210" s="110"/>
      <c r="P210" s="110"/>
      <c r="Q210" s="110"/>
      <c r="R210" s="110"/>
    </row>
    <row r="211" spans="1:23" x14ac:dyDescent="0.3">
      <c r="A211" s="109">
        <v>186</v>
      </c>
      <c r="B211" s="58">
        <f t="shared" si="35"/>
        <v>2798153</v>
      </c>
      <c r="C211" s="116">
        <f t="shared" si="36"/>
        <v>48344</v>
      </c>
      <c r="D211" s="117">
        <f t="shared" si="37"/>
        <v>7116</v>
      </c>
      <c r="E211" s="297">
        <f t="shared" si="38"/>
        <v>39779</v>
      </c>
      <c r="F211" s="116">
        <f t="shared" si="30"/>
        <v>55460</v>
      </c>
      <c r="G211" s="117">
        <f t="shared" si="31"/>
        <v>0</v>
      </c>
      <c r="H211" s="116">
        <f t="shared" si="39"/>
        <v>55460</v>
      </c>
      <c r="I211" s="116">
        <f t="shared" si="32"/>
        <v>55785</v>
      </c>
      <c r="J211" s="119">
        <f t="shared" si="33"/>
        <v>60598</v>
      </c>
      <c r="K211" s="119">
        <f t="shared" si="34"/>
        <v>65996</v>
      </c>
      <c r="L211" s="110"/>
      <c r="M211" s="110"/>
      <c r="N211" s="110"/>
      <c r="O211" s="110"/>
      <c r="P211" s="110"/>
      <c r="Q211" s="110"/>
      <c r="R211" s="110"/>
    </row>
    <row r="212" spans="1:23" x14ac:dyDescent="0.3">
      <c r="A212" s="109">
        <v>187</v>
      </c>
      <c r="B212" s="58">
        <f t="shared" si="35"/>
        <v>2749688</v>
      </c>
      <c r="C212" s="116">
        <f t="shared" si="36"/>
        <v>48465</v>
      </c>
      <c r="D212" s="117">
        <f t="shared" si="37"/>
        <v>6995</v>
      </c>
      <c r="E212" s="297">
        <f t="shared" si="38"/>
        <v>39779</v>
      </c>
      <c r="F212" s="116">
        <f t="shared" si="30"/>
        <v>55460</v>
      </c>
      <c r="G212" s="117">
        <f t="shared" si="31"/>
        <v>0</v>
      </c>
      <c r="H212" s="116">
        <f t="shared" si="39"/>
        <v>55460</v>
      </c>
      <c r="I212" s="116">
        <f t="shared" si="32"/>
        <v>55785</v>
      </c>
      <c r="J212" s="119">
        <f t="shared" si="33"/>
        <v>60598</v>
      </c>
      <c r="K212" s="119">
        <f t="shared" si="34"/>
        <v>65996</v>
      </c>
      <c r="L212" s="110"/>
      <c r="M212" s="110"/>
      <c r="N212" s="110"/>
      <c r="O212" s="110"/>
      <c r="P212" s="110"/>
      <c r="Q212" s="110"/>
      <c r="R212" s="110"/>
    </row>
    <row r="213" spans="1:23" x14ac:dyDescent="0.3">
      <c r="A213" s="109">
        <v>188</v>
      </c>
      <c r="B213" s="58">
        <f t="shared" si="35"/>
        <v>2701102</v>
      </c>
      <c r="C213" s="116">
        <f t="shared" si="36"/>
        <v>48586</v>
      </c>
      <c r="D213" s="117">
        <f t="shared" si="37"/>
        <v>6874</v>
      </c>
      <c r="E213" s="297">
        <f t="shared" si="38"/>
        <v>39779</v>
      </c>
      <c r="F213" s="116">
        <f t="shared" si="30"/>
        <v>55460</v>
      </c>
      <c r="G213" s="117">
        <f t="shared" si="31"/>
        <v>0</v>
      </c>
      <c r="H213" s="116">
        <f t="shared" si="39"/>
        <v>55460</v>
      </c>
      <c r="I213" s="116">
        <f t="shared" si="32"/>
        <v>55785</v>
      </c>
      <c r="J213" s="119">
        <f t="shared" si="33"/>
        <v>60598</v>
      </c>
      <c r="K213" s="119">
        <f t="shared" si="34"/>
        <v>65996</v>
      </c>
      <c r="L213" s="110"/>
      <c r="M213" s="110"/>
      <c r="N213" s="110"/>
      <c r="O213" s="110"/>
      <c r="P213" s="110"/>
      <c r="Q213" s="110"/>
      <c r="R213" s="110"/>
    </row>
    <row r="214" spans="1:23" x14ac:dyDescent="0.3">
      <c r="A214" s="109">
        <v>189</v>
      </c>
      <c r="B214" s="58">
        <f t="shared" si="35"/>
        <v>2652395</v>
      </c>
      <c r="C214" s="116">
        <f t="shared" si="36"/>
        <v>48707</v>
      </c>
      <c r="D214" s="117">
        <f t="shared" si="37"/>
        <v>6753</v>
      </c>
      <c r="E214" s="297">
        <f t="shared" si="38"/>
        <v>39779</v>
      </c>
      <c r="F214" s="116">
        <f t="shared" si="30"/>
        <v>55460</v>
      </c>
      <c r="G214" s="117">
        <f t="shared" si="31"/>
        <v>0</v>
      </c>
      <c r="H214" s="116">
        <f t="shared" si="39"/>
        <v>55460</v>
      </c>
      <c r="I214" s="116">
        <f t="shared" si="32"/>
        <v>55785</v>
      </c>
      <c r="J214" s="119">
        <f t="shared" si="33"/>
        <v>60598</v>
      </c>
      <c r="K214" s="119">
        <f t="shared" si="34"/>
        <v>65996</v>
      </c>
      <c r="L214" s="110"/>
      <c r="M214" s="110"/>
      <c r="N214" s="110"/>
      <c r="O214" s="110"/>
      <c r="P214" s="110"/>
      <c r="Q214" s="110"/>
      <c r="R214" s="110"/>
    </row>
    <row r="215" spans="1:23" x14ac:dyDescent="0.3">
      <c r="A215" s="109">
        <v>190</v>
      </c>
      <c r="B215" s="58">
        <f t="shared" si="35"/>
        <v>2603566</v>
      </c>
      <c r="C215" s="116">
        <f t="shared" si="36"/>
        <v>48829</v>
      </c>
      <c r="D215" s="117">
        <f t="shared" si="37"/>
        <v>6631</v>
      </c>
      <c r="E215" s="297">
        <f t="shared" si="38"/>
        <v>39779</v>
      </c>
      <c r="F215" s="116">
        <f t="shared" si="30"/>
        <v>55460</v>
      </c>
      <c r="G215" s="117">
        <f t="shared" si="31"/>
        <v>0</v>
      </c>
      <c r="H215" s="116">
        <f t="shared" si="39"/>
        <v>55460</v>
      </c>
      <c r="I215" s="116">
        <f t="shared" si="32"/>
        <v>55785</v>
      </c>
      <c r="J215" s="119">
        <f t="shared" si="33"/>
        <v>60598</v>
      </c>
      <c r="K215" s="119">
        <f t="shared" si="34"/>
        <v>65996</v>
      </c>
      <c r="L215" s="110"/>
      <c r="M215" s="110"/>
      <c r="N215" s="110"/>
      <c r="O215" s="110"/>
      <c r="P215" s="110"/>
      <c r="Q215" s="110"/>
      <c r="R215" s="110"/>
    </row>
    <row r="216" spans="1:23" x14ac:dyDescent="0.3">
      <c r="A216" s="109">
        <v>191</v>
      </c>
      <c r="B216" s="58">
        <f t="shared" si="35"/>
        <v>2554615</v>
      </c>
      <c r="C216" s="116">
        <f t="shared" si="36"/>
        <v>48951</v>
      </c>
      <c r="D216" s="117">
        <f t="shared" si="37"/>
        <v>6509</v>
      </c>
      <c r="E216" s="297">
        <f t="shared" si="38"/>
        <v>39779</v>
      </c>
      <c r="F216" s="116">
        <f t="shared" si="30"/>
        <v>55460</v>
      </c>
      <c r="G216" s="117">
        <f t="shared" si="31"/>
        <v>0</v>
      </c>
      <c r="H216" s="116">
        <f t="shared" si="39"/>
        <v>55460</v>
      </c>
      <c r="I216" s="116">
        <f t="shared" si="32"/>
        <v>55785</v>
      </c>
      <c r="J216" s="119">
        <f t="shared" si="33"/>
        <v>60598</v>
      </c>
      <c r="K216" s="119">
        <f t="shared" si="34"/>
        <v>65996</v>
      </c>
      <c r="L216" s="110"/>
      <c r="M216" s="110"/>
      <c r="N216" s="110"/>
      <c r="O216" s="110"/>
      <c r="P216" s="110"/>
      <c r="Q216" s="110"/>
      <c r="R216" s="110"/>
    </row>
    <row r="217" spans="1:23" x14ac:dyDescent="0.3">
      <c r="A217" s="109">
        <v>192</v>
      </c>
      <c r="B217" s="58">
        <f t="shared" si="35"/>
        <v>2505542</v>
      </c>
      <c r="C217" s="116">
        <f t="shared" si="36"/>
        <v>49073</v>
      </c>
      <c r="D217" s="117">
        <f t="shared" si="37"/>
        <v>6387</v>
      </c>
      <c r="E217" s="297">
        <f t="shared" si="38"/>
        <v>39779</v>
      </c>
      <c r="F217" s="116">
        <f t="shared" si="30"/>
        <v>55460</v>
      </c>
      <c r="G217" s="117">
        <f t="shared" si="31"/>
        <v>0</v>
      </c>
      <c r="H217" s="116">
        <f t="shared" si="39"/>
        <v>55460</v>
      </c>
      <c r="I217" s="116">
        <f t="shared" si="32"/>
        <v>55785</v>
      </c>
      <c r="J217" s="119">
        <f t="shared" si="33"/>
        <v>60598</v>
      </c>
      <c r="K217" s="119">
        <f t="shared" si="34"/>
        <v>65996</v>
      </c>
      <c r="L217" s="58">
        <f t="shared" ref="L217:Q217" si="45">SUM(C206:C217)</f>
        <v>580871</v>
      </c>
      <c r="M217" s="58">
        <f t="shared" si="45"/>
        <v>84649</v>
      </c>
      <c r="N217" s="58">
        <f t="shared" si="45"/>
        <v>477348</v>
      </c>
      <c r="O217" s="58">
        <f t="shared" si="45"/>
        <v>665520</v>
      </c>
      <c r="P217" s="58">
        <f t="shared" si="45"/>
        <v>0</v>
      </c>
      <c r="Q217" s="58">
        <f t="shared" si="45"/>
        <v>665520</v>
      </c>
      <c r="R217" s="58">
        <f>SUM(J206:J217)</f>
        <v>727176</v>
      </c>
      <c r="S217" s="29">
        <f>SUM(K206:K217)</f>
        <v>791952</v>
      </c>
      <c r="T217" s="29"/>
      <c r="U217" s="29"/>
      <c r="V217" s="29"/>
      <c r="W217" s="29"/>
    </row>
    <row r="218" spans="1:23" x14ac:dyDescent="0.3">
      <c r="A218" s="109">
        <v>193</v>
      </c>
      <c r="B218" s="58">
        <f t="shared" si="35"/>
        <v>2456346</v>
      </c>
      <c r="C218" s="116">
        <f t="shared" si="36"/>
        <v>49196</v>
      </c>
      <c r="D218" s="117">
        <f t="shared" si="37"/>
        <v>6264</v>
      </c>
      <c r="E218" s="297">
        <f t="shared" si="38"/>
        <v>39779</v>
      </c>
      <c r="F218" s="116">
        <f t="shared" ref="F218:F281" si="46">ROUND(IF(A218&gt;$G$6,(IF(A218&gt;=$C$3,B217+D218,PMT($C$4/12,$C$3-$G$6,-$B$25))),D218),0)</f>
        <v>55460</v>
      </c>
      <c r="G218" s="117">
        <f t="shared" ref="G218:G281" si="47">ROUND(IF(A218&gt;$G$6,0,$B$25*$C$14/360*30),0)</f>
        <v>0</v>
      </c>
      <c r="H218" s="116">
        <f t="shared" si="39"/>
        <v>55460</v>
      </c>
      <c r="I218" s="116">
        <f t="shared" ref="I218:I281" si="48">IF(A218&lt;=$C$3,H218+$C$17,0)</f>
        <v>55785</v>
      </c>
      <c r="J218" s="119">
        <f t="shared" ref="J218:J281" si="49">ROUND(IF(A218&gt;$G$6,(IF(A218&gt;=$C$3,B217+D218,PMT($L$12/12,$C$3-$G$6,-$B$25))),D218),0)</f>
        <v>60598</v>
      </c>
      <c r="K218" s="119">
        <f t="shared" ref="K218:K281" si="50">ROUND(IF(A218&gt;$G$6,(IF(A218&gt;=$C$3,B217+D218,PMT($L$13/12,$C$3-$G$6,-$B$25))),D218),0)</f>
        <v>65996</v>
      </c>
      <c r="L218" s="110"/>
      <c r="M218" s="110"/>
      <c r="N218" s="110"/>
      <c r="O218" s="110"/>
      <c r="P218" s="110"/>
      <c r="Q218" s="110"/>
      <c r="R218" s="110"/>
    </row>
    <row r="219" spans="1:23" x14ac:dyDescent="0.3">
      <c r="A219" s="109">
        <v>194</v>
      </c>
      <c r="B219" s="58">
        <f t="shared" ref="B219:B282" si="51">B218-C219</f>
        <v>2407027</v>
      </c>
      <c r="C219" s="116">
        <f t="shared" ref="C219:C282" si="52">+F219-D219</f>
        <v>49319</v>
      </c>
      <c r="D219" s="117">
        <f t="shared" ref="D219:D282" si="53">ROUND(IF(A219&gt;$G$6,B218*$C$4*30/360,0),0)</f>
        <v>6141</v>
      </c>
      <c r="E219" s="297">
        <f t="shared" ref="E219:E282" si="54">ROUND(IF(A219&gt;$C$3,0,$B$25*($C$5/12)),0)</f>
        <v>39779</v>
      </c>
      <c r="F219" s="116">
        <f t="shared" si="46"/>
        <v>55460</v>
      </c>
      <c r="G219" s="117">
        <f t="shared" si="47"/>
        <v>0</v>
      </c>
      <c r="H219" s="116">
        <f t="shared" si="39"/>
        <v>55460</v>
      </c>
      <c r="I219" s="116">
        <f t="shared" si="48"/>
        <v>55785</v>
      </c>
      <c r="J219" s="119">
        <f t="shared" si="49"/>
        <v>60598</v>
      </c>
      <c r="K219" s="119">
        <f t="shared" si="50"/>
        <v>65996</v>
      </c>
      <c r="L219" s="110"/>
      <c r="M219" s="110"/>
      <c r="N219" s="110"/>
      <c r="O219" s="110"/>
      <c r="P219" s="110"/>
      <c r="Q219" s="110"/>
      <c r="R219" s="110"/>
    </row>
    <row r="220" spans="1:23" x14ac:dyDescent="0.3">
      <c r="A220" s="109">
        <v>195</v>
      </c>
      <c r="B220" s="58">
        <f t="shared" si="51"/>
        <v>2357585</v>
      </c>
      <c r="C220" s="116">
        <f t="shared" si="52"/>
        <v>49442</v>
      </c>
      <c r="D220" s="117">
        <f t="shared" si="53"/>
        <v>6018</v>
      </c>
      <c r="E220" s="297">
        <f t="shared" si="54"/>
        <v>39779</v>
      </c>
      <c r="F220" s="116">
        <f t="shared" si="46"/>
        <v>55460</v>
      </c>
      <c r="G220" s="117">
        <f t="shared" si="47"/>
        <v>0</v>
      </c>
      <c r="H220" s="116">
        <f t="shared" ref="H220:H283" si="55">F220+G220</f>
        <v>55460</v>
      </c>
      <c r="I220" s="116">
        <f t="shared" si="48"/>
        <v>55785</v>
      </c>
      <c r="J220" s="119">
        <f t="shared" si="49"/>
        <v>60598</v>
      </c>
      <c r="K220" s="119">
        <f t="shared" si="50"/>
        <v>65996</v>
      </c>
      <c r="L220" s="110"/>
      <c r="M220" s="110"/>
      <c r="N220" s="110"/>
      <c r="O220" s="110"/>
      <c r="P220" s="110"/>
      <c r="Q220" s="110"/>
      <c r="R220" s="110"/>
    </row>
    <row r="221" spans="1:23" x14ac:dyDescent="0.3">
      <c r="A221" s="109">
        <v>196</v>
      </c>
      <c r="B221" s="58">
        <f t="shared" si="51"/>
        <v>2308019</v>
      </c>
      <c r="C221" s="116">
        <f t="shared" si="52"/>
        <v>49566</v>
      </c>
      <c r="D221" s="117">
        <f t="shared" si="53"/>
        <v>5894</v>
      </c>
      <c r="E221" s="297">
        <f t="shared" si="54"/>
        <v>39779</v>
      </c>
      <c r="F221" s="116">
        <f t="shared" si="46"/>
        <v>55460</v>
      </c>
      <c r="G221" s="117">
        <f t="shared" si="47"/>
        <v>0</v>
      </c>
      <c r="H221" s="116">
        <f t="shared" si="55"/>
        <v>55460</v>
      </c>
      <c r="I221" s="116">
        <f t="shared" si="48"/>
        <v>55785</v>
      </c>
      <c r="J221" s="119">
        <f t="shared" si="49"/>
        <v>60598</v>
      </c>
      <c r="K221" s="119">
        <f t="shared" si="50"/>
        <v>65996</v>
      </c>
      <c r="L221" s="110"/>
      <c r="M221" s="110"/>
      <c r="N221" s="110"/>
      <c r="O221" s="110"/>
      <c r="P221" s="110"/>
      <c r="Q221" s="110"/>
      <c r="R221" s="110"/>
    </row>
    <row r="222" spans="1:23" x14ac:dyDescent="0.3">
      <c r="A222" s="109">
        <v>197</v>
      </c>
      <c r="B222" s="58">
        <f t="shared" si="51"/>
        <v>2258329</v>
      </c>
      <c r="C222" s="116">
        <f t="shared" si="52"/>
        <v>49690</v>
      </c>
      <c r="D222" s="117">
        <f t="shared" si="53"/>
        <v>5770</v>
      </c>
      <c r="E222" s="297">
        <f t="shared" si="54"/>
        <v>39779</v>
      </c>
      <c r="F222" s="116">
        <f t="shared" si="46"/>
        <v>55460</v>
      </c>
      <c r="G222" s="117">
        <f t="shared" si="47"/>
        <v>0</v>
      </c>
      <c r="H222" s="116">
        <f t="shared" si="55"/>
        <v>55460</v>
      </c>
      <c r="I222" s="116">
        <f t="shared" si="48"/>
        <v>55785</v>
      </c>
      <c r="J222" s="119">
        <f t="shared" si="49"/>
        <v>60598</v>
      </c>
      <c r="K222" s="119">
        <f t="shared" si="50"/>
        <v>65996</v>
      </c>
      <c r="L222" s="110"/>
      <c r="M222" s="110"/>
      <c r="N222" s="110"/>
      <c r="O222" s="110"/>
      <c r="P222" s="110"/>
      <c r="Q222" s="110"/>
      <c r="R222" s="110"/>
    </row>
    <row r="223" spans="1:23" x14ac:dyDescent="0.3">
      <c r="A223" s="109">
        <v>198</v>
      </c>
      <c r="B223" s="58">
        <f t="shared" si="51"/>
        <v>2208515</v>
      </c>
      <c r="C223" s="116">
        <f t="shared" si="52"/>
        <v>49814</v>
      </c>
      <c r="D223" s="117">
        <f t="shared" si="53"/>
        <v>5646</v>
      </c>
      <c r="E223" s="297">
        <f t="shared" si="54"/>
        <v>39779</v>
      </c>
      <c r="F223" s="116">
        <f t="shared" si="46"/>
        <v>55460</v>
      </c>
      <c r="G223" s="117">
        <f t="shared" si="47"/>
        <v>0</v>
      </c>
      <c r="H223" s="116">
        <f t="shared" si="55"/>
        <v>55460</v>
      </c>
      <c r="I223" s="116">
        <f t="shared" si="48"/>
        <v>55785</v>
      </c>
      <c r="J223" s="119">
        <f t="shared" si="49"/>
        <v>60598</v>
      </c>
      <c r="K223" s="119">
        <f t="shared" si="50"/>
        <v>65996</v>
      </c>
      <c r="L223" s="110"/>
      <c r="M223" s="110"/>
      <c r="N223" s="110"/>
      <c r="O223" s="110"/>
      <c r="P223" s="110"/>
      <c r="Q223" s="110"/>
      <c r="R223" s="110"/>
    </row>
    <row r="224" spans="1:23" x14ac:dyDescent="0.3">
      <c r="A224" s="109">
        <v>199</v>
      </c>
      <c r="B224" s="58">
        <f t="shared" si="51"/>
        <v>2158576</v>
      </c>
      <c r="C224" s="116">
        <f t="shared" si="52"/>
        <v>49939</v>
      </c>
      <c r="D224" s="117">
        <f t="shared" si="53"/>
        <v>5521</v>
      </c>
      <c r="E224" s="297">
        <f t="shared" si="54"/>
        <v>39779</v>
      </c>
      <c r="F224" s="116">
        <f t="shared" si="46"/>
        <v>55460</v>
      </c>
      <c r="G224" s="117">
        <f t="shared" si="47"/>
        <v>0</v>
      </c>
      <c r="H224" s="116">
        <f t="shared" si="55"/>
        <v>55460</v>
      </c>
      <c r="I224" s="116">
        <f t="shared" si="48"/>
        <v>55785</v>
      </c>
      <c r="J224" s="119">
        <f t="shared" si="49"/>
        <v>60598</v>
      </c>
      <c r="K224" s="119">
        <f t="shared" si="50"/>
        <v>65996</v>
      </c>
      <c r="L224" s="110"/>
      <c r="M224" s="110"/>
      <c r="N224" s="110"/>
      <c r="O224" s="110"/>
      <c r="P224" s="110"/>
      <c r="Q224" s="110"/>
      <c r="R224" s="110"/>
    </row>
    <row r="225" spans="1:23" x14ac:dyDescent="0.3">
      <c r="A225" s="109">
        <v>200</v>
      </c>
      <c r="B225" s="58">
        <f t="shared" si="51"/>
        <v>2108512</v>
      </c>
      <c r="C225" s="116">
        <f t="shared" si="52"/>
        <v>50064</v>
      </c>
      <c r="D225" s="117">
        <f t="shared" si="53"/>
        <v>5396</v>
      </c>
      <c r="E225" s="297">
        <f t="shared" si="54"/>
        <v>39779</v>
      </c>
      <c r="F225" s="116">
        <f t="shared" si="46"/>
        <v>55460</v>
      </c>
      <c r="G225" s="117">
        <f t="shared" si="47"/>
        <v>0</v>
      </c>
      <c r="H225" s="116">
        <f t="shared" si="55"/>
        <v>55460</v>
      </c>
      <c r="I225" s="116">
        <f t="shared" si="48"/>
        <v>55785</v>
      </c>
      <c r="J225" s="119">
        <f t="shared" si="49"/>
        <v>60598</v>
      </c>
      <c r="K225" s="119">
        <f t="shared" si="50"/>
        <v>65996</v>
      </c>
      <c r="L225" s="110"/>
      <c r="M225" s="110"/>
      <c r="N225" s="110"/>
      <c r="O225" s="110"/>
      <c r="P225" s="110"/>
      <c r="Q225" s="110"/>
      <c r="R225" s="110"/>
    </row>
    <row r="226" spans="1:23" x14ac:dyDescent="0.3">
      <c r="A226" s="109">
        <v>201</v>
      </c>
      <c r="B226" s="58">
        <f t="shared" si="51"/>
        <v>2058323</v>
      </c>
      <c r="C226" s="116">
        <f t="shared" si="52"/>
        <v>50189</v>
      </c>
      <c r="D226" s="117">
        <f t="shared" si="53"/>
        <v>5271</v>
      </c>
      <c r="E226" s="297">
        <f t="shared" si="54"/>
        <v>39779</v>
      </c>
      <c r="F226" s="116">
        <f t="shared" si="46"/>
        <v>55460</v>
      </c>
      <c r="G226" s="117">
        <f t="shared" si="47"/>
        <v>0</v>
      </c>
      <c r="H226" s="116">
        <f t="shared" si="55"/>
        <v>55460</v>
      </c>
      <c r="I226" s="116">
        <f t="shared" si="48"/>
        <v>55785</v>
      </c>
      <c r="J226" s="119">
        <f t="shared" si="49"/>
        <v>60598</v>
      </c>
      <c r="K226" s="119">
        <f t="shared" si="50"/>
        <v>65996</v>
      </c>
      <c r="L226" s="110"/>
      <c r="M226" s="110"/>
      <c r="N226" s="110"/>
      <c r="O226" s="110"/>
      <c r="P226" s="110"/>
      <c r="Q226" s="110"/>
      <c r="R226" s="110"/>
    </row>
    <row r="227" spans="1:23" x14ac:dyDescent="0.3">
      <c r="A227" s="109">
        <v>202</v>
      </c>
      <c r="B227" s="58">
        <f t="shared" si="51"/>
        <v>2008009</v>
      </c>
      <c r="C227" s="116">
        <f t="shared" si="52"/>
        <v>50314</v>
      </c>
      <c r="D227" s="117">
        <f t="shared" si="53"/>
        <v>5146</v>
      </c>
      <c r="E227" s="297">
        <f t="shared" si="54"/>
        <v>39779</v>
      </c>
      <c r="F227" s="116">
        <f t="shared" si="46"/>
        <v>55460</v>
      </c>
      <c r="G227" s="117">
        <f t="shared" si="47"/>
        <v>0</v>
      </c>
      <c r="H227" s="116">
        <f t="shared" si="55"/>
        <v>55460</v>
      </c>
      <c r="I227" s="116">
        <f t="shared" si="48"/>
        <v>55785</v>
      </c>
      <c r="J227" s="119">
        <f t="shared" si="49"/>
        <v>60598</v>
      </c>
      <c r="K227" s="119">
        <f t="shared" si="50"/>
        <v>65996</v>
      </c>
      <c r="L227" s="110"/>
      <c r="M227" s="110"/>
      <c r="N227" s="110"/>
      <c r="O227" s="110"/>
      <c r="P227" s="110"/>
      <c r="Q227" s="110"/>
      <c r="R227" s="110"/>
    </row>
    <row r="228" spans="1:23" x14ac:dyDescent="0.3">
      <c r="A228" s="109">
        <v>203</v>
      </c>
      <c r="B228" s="58">
        <f t="shared" si="51"/>
        <v>1957569</v>
      </c>
      <c r="C228" s="116">
        <f t="shared" si="52"/>
        <v>50440</v>
      </c>
      <c r="D228" s="117">
        <f t="shared" si="53"/>
        <v>5020</v>
      </c>
      <c r="E228" s="297">
        <f t="shared" si="54"/>
        <v>39779</v>
      </c>
      <c r="F228" s="116">
        <f t="shared" si="46"/>
        <v>55460</v>
      </c>
      <c r="G228" s="117">
        <f t="shared" si="47"/>
        <v>0</v>
      </c>
      <c r="H228" s="116">
        <f t="shared" si="55"/>
        <v>55460</v>
      </c>
      <c r="I228" s="116">
        <f t="shared" si="48"/>
        <v>55785</v>
      </c>
      <c r="J228" s="119">
        <f t="shared" si="49"/>
        <v>60598</v>
      </c>
      <c r="K228" s="119">
        <f t="shared" si="50"/>
        <v>65996</v>
      </c>
      <c r="L228" s="110"/>
      <c r="M228" s="110"/>
      <c r="N228" s="110"/>
      <c r="O228" s="110"/>
      <c r="P228" s="110"/>
      <c r="Q228" s="110"/>
      <c r="R228" s="110"/>
    </row>
    <row r="229" spans="1:23" x14ac:dyDescent="0.3">
      <c r="A229" s="109">
        <v>204</v>
      </c>
      <c r="B229" s="58">
        <f t="shared" si="51"/>
        <v>1907003</v>
      </c>
      <c r="C229" s="116">
        <f t="shared" si="52"/>
        <v>50566</v>
      </c>
      <c r="D229" s="117">
        <f t="shared" si="53"/>
        <v>4894</v>
      </c>
      <c r="E229" s="297">
        <f t="shared" si="54"/>
        <v>39779</v>
      </c>
      <c r="F229" s="116">
        <f t="shared" si="46"/>
        <v>55460</v>
      </c>
      <c r="G229" s="117">
        <f t="shared" si="47"/>
        <v>0</v>
      </c>
      <c r="H229" s="116">
        <f t="shared" si="55"/>
        <v>55460</v>
      </c>
      <c r="I229" s="116">
        <f t="shared" si="48"/>
        <v>55785</v>
      </c>
      <c r="J229" s="119">
        <f t="shared" si="49"/>
        <v>60598</v>
      </c>
      <c r="K229" s="119">
        <f t="shared" si="50"/>
        <v>65996</v>
      </c>
      <c r="L229" s="58">
        <f t="shared" ref="L229:Q229" si="56">SUM(C218:C229)</f>
        <v>598539</v>
      </c>
      <c r="M229" s="58">
        <f t="shared" si="56"/>
        <v>66981</v>
      </c>
      <c r="N229" s="58">
        <f t="shared" si="56"/>
        <v>477348</v>
      </c>
      <c r="O229" s="58">
        <f t="shared" si="56"/>
        <v>665520</v>
      </c>
      <c r="P229" s="58">
        <f t="shared" si="56"/>
        <v>0</v>
      </c>
      <c r="Q229" s="58">
        <f t="shared" si="56"/>
        <v>665520</v>
      </c>
      <c r="R229" s="58">
        <f>SUM(J218:J229)</f>
        <v>727176</v>
      </c>
      <c r="S229" s="29">
        <f>SUM(K218:K229)</f>
        <v>791952</v>
      </c>
      <c r="T229" s="29"/>
      <c r="U229" s="29"/>
      <c r="V229" s="29"/>
      <c r="W229" s="29"/>
    </row>
    <row r="230" spans="1:23" x14ac:dyDescent="0.3">
      <c r="A230" s="109">
        <v>205</v>
      </c>
      <c r="B230" s="58">
        <f t="shared" si="51"/>
        <v>1856311</v>
      </c>
      <c r="C230" s="116">
        <f t="shared" si="52"/>
        <v>50692</v>
      </c>
      <c r="D230" s="117">
        <f t="shared" si="53"/>
        <v>4768</v>
      </c>
      <c r="E230" s="297">
        <f t="shared" si="54"/>
        <v>39779</v>
      </c>
      <c r="F230" s="116">
        <f t="shared" si="46"/>
        <v>55460</v>
      </c>
      <c r="G230" s="117">
        <f t="shared" si="47"/>
        <v>0</v>
      </c>
      <c r="H230" s="116">
        <f t="shared" si="55"/>
        <v>55460</v>
      </c>
      <c r="I230" s="116">
        <f t="shared" si="48"/>
        <v>55785</v>
      </c>
      <c r="J230" s="119">
        <f t="shared" si="49"/>
        <v>60598</v>
      </c>
      <c r="K230" s="119">
        <f t="shared" si="50"/>
        <v>65996</v>
      </c>
      <c r="L230" s="110"/>
      <c r="M230" s="110"/>
      <c r="N230" s="110"/>
      <c r="O230" s="110"/>
      <c r="P230" s="110"/>
      <c r="Q230" s="110"/>
      <c r="R230" s="110"/>
    </row>
    <row r="231" spans="1:23" x14ac:dyDescent="0.3">
      <c r="A231" s="109">
        <v>206</v>
      </c>
      <c r="B231" s="58">
        <f t="shared" si="51"/>
        <v>1805492</v>
      </c>
      <c r="C231" s="116">
        <f t="shared" si="52"/>
        <v>50819</v>
      </c>
      <c r="D231" s="117">
        <f t="shared" si="53"/>
        <v>4641</v>
      </c>
      <c r="E231" s="297">
        <f t="shared" si="54"/>
        <v>39779</v>
      </c>
      <c r="F231" s="116">
        <f t="shared" si="46"/>
        <v>55460</v>
      </c>
      <c r="G231" s="117">
        <f t="shared" si="47"/>
        <v>0</v>
      </c>
      <c r="H231" s="116">
        <f t="shared" si="55"/>
        <v>55460</v>
      </c>
      <c r="I231" s="116">
        <f t="shared" si="48"/>
        <v>55785</v>
      </c>
      <c r="J231" s="119">
        <f t="shared" si="49"/>
        <v>60598</v>
      </c>
      <c r="K231" s="119">
        <f t="shared" si="50"/>
        <v>65996</v>
      </c>
      <c r="L231" s="110"/>
      <c r="M231" s="110"/>
      <c r="N231" s="110"/>
      <c r="O231" s="110"/>
      <c r="P231" s="110"/>
      <c r="Q231" s="110"/>
      <c r="R231" s="110"/>
    </row>
    <row r="232" spans="1:23" x14ac:dyDescent="0.3">
      <c r="A232" s="109">
        <v>207</v>
      </c>
      <c r="B232" s="58">
        <f t="shared" si="51"/>
        <v>1754546</v>
      </c>
      <c r="C232" s="116">
        <f t="shared" si="52"/>
        <v>50946</v>
      </c>
      <c r="D232" s="117">
        <f t="shared" si="53"/>
        <v>4514</v>
      </c>
      <c r="E232" s="297">
        <f t="shared" si="54"/>
        <v>39779</v>
      </c>
      <c r="F232" s="116">
        <f t="shared" si="46"/>
        <v>55460</v>
      </c>
      <c r="G232" s="117">
        <f t="shared" si="47"/>
        <v>0</v>
      </c>
      <c r="H232" s="116">
        <f t="shared" si="55"/>
        <v>55460</v>
      </c>
      <c r="I232" s="116">
        <f t="shared" si="48"/>
        <v>55785</v>
      </c>
      <c r="J232" s="119">
        <f t="shared" si="49"/>
        <v>60598</v>
      </c>
      <c r="K232" s="119">
        <f t="shared" si="50"/>
        <v>65996</v>
      </c>
      <c r="L232" s="110"/>
      <c r="M232" s="110"/>
      <c r="N232" s="110"/>
      <c r="O232" s="110"/>
      <c r="P232" s="110"/>
      <c r="Q232" s="110"/>
      <c r="R232" s="110"/>
    </row>
    <row r="233" spans="1:23" x14ac:dyDescent="0.3">
      <c r="A233" s="109">
        <v>208</v>
      </c>
      <c r="B233" s="58">
        <f t="shared" si="51"/>
        <v>1703472</v>
      </c>
      <c r="C233" s="116">
        <f t="shared" si="52"/>
        <v>51074</v>
      </c>
      <c r="D233" s="117">
        <f t="shared" si="53"/>
        <v>4386</v>
      </c>
      <c r="E233" s="297">
        <f t="shared" si="54"/>
        <v>39779</v>
      </c>
      <c r="F233" s="116">
        <f t="shared" si="46"/>
        <v>55460</v>
      </c>
      <c r="G233" s="117">
        <f t="shared" si="47"/>
        <v>0</v>
      </c>
      <c r="H233" s="116">
        <f t="shared" si="55"/>
        <v>55460</v>
      </c>
      <c r="I233" s="116">
        <f t="shared" si="48"/>
        <v>55785</v>
      </c>
      <c r="J233" s="119">
        <f t="shared" si="49"/>
        <v>60598</v>
      </c>
      <c r="K233" s="119">
        <f t="shared" si="50"/>
        <v>65996</v>
      </c>
      <c r="L233" s="110"/>
      <c r="M233" s="110"/>
      <c r="N233" s="110"/>
      <c r="O233" s="110"/>
      <c r="P233" s="110"/>
      <c r="Q233" s="110"/>
      <c r="R233" s="110"/>
    </row>
    <row r="234" spans="1:23" x14ac:dyDescent="0.3">
      <c r="A234" s="109">
        <v>209</v>
      </c>
      <c r="B234" s="58">
        <f t="shared" si="51"/>
        <v>1652271</v>
      </c>
      <c r="C234" s="116">
        <f t="shared" si="52"/>
        <v>51201</v>
      </c>
      <c r="D234" s="117">
        <f t="shared" si="53"/>
        <v>4259</v>
      </c>
      <c r="E234" s="297">
        <f t="shared" si="54"/>
        <v>39779</v>
      </c>
      <c r="F234" s="116">
        <f t="shared" si="46"/>
        <v>55460</v>
      </c>
      <c r="G234" s="117">
        <f t="shared" si="47"/>
        <v>0</v>
      </c>
      <c r="H234" s="116">
        <f t="shared" si="55"/>
        <v>55460</v>
      </c>
      <c r="I234" s="116">
        <f t="shared" si="48"/>
        <v>55785</v>
      </c>
      <c r="J234" s="119">
        <f t="shared" si="49"/>
        <v>60598</v>
      </c>
      <c r="K234" s="119">
        <f t="shared" si="50"/>
        <v>65996</v>
      </c>
      <c r="L234" s="110"/>
      <c r="M234" s="110"/>
      <c r="N234" s="110"/>
      <c r="O234" s="110"/>
      <c r="P234" s="110"/>
      <c r="Q234" s="110"/>
      <c r="R234" s="110"/>
    </row>
    <row r="235" spans="1:23" x14ac:dyDescent="0.3">
      <c r="A235" s="109">
        <v>210</v>
      </c>
      <c r="B235" s="58">
        <f t="shared" si="51"/>
        <v>1600942</v>
      </c>
      <c r="C235" s="116">
        <f t="shared" si="52"/>
        <v>51329</v>
      </c>
      <c r="D235" s="117">
        <f t="shared" si="53"/>
        <v>4131</v>
      </c>
      <c r="E235" s="297">
        <f t="shared" si="54"/>
        <v>39779</v>
      </c>
      <c r="F235" s="116">
        <f t="shared" si="46"/>
        <v>55460</v>
      </c>
      <c r="G235" s="117">
        <f t="shared" si="47"/>
        <v>0</v>
      </c>
      <c r="H235" s="116">
        <f t="shared" si="55"/>
        <v>55460</v>
      </c>
      <c r="I235" s="116">
        <f t="shared" si="48"/>
        <v>55785</v>
      </c>
      <c r="J235" s="119">
        <f t="shared" si="49"/>
        <v>60598</v>
      </c>
      <c r="K235" s="119">
        <f t="shared" si="50"/>
        <v>65996</v>
      </c>
      <c r="L235" s="110"/>
      <c r="M235" s="110"/>
      <c r="N235" s="110"/>
      <c r="O235" s="110"/>
      <c r="P235" s="110"/>
      <c r="Q235" s="110"/>
      <c r="R235" s="110"/>
    </row>
    <row r="236" spans="1:23" x14ac:dyDescent="0.3">
      <c r="A236" s="109">
        <v>211</v>
      </c>
      <c r="B236" s="58">
        <f t="shared" si="51"/>
        <v>1549484</v>
      </c>
      <c r="C236" s="116">
        <f t="shared" si="52"/>
        <v>51458</v>
      </c>
      <c r="D236" s="117">
        <f t="shared" si="53"/>
        <v>4002</v>
      </c>
      <c r="E236" s="297">
        <f t="shared" si="54"/>
        <v>39779</v>
      </c>
      <c r="F236" s="116">
        <f t="shared" si="46"/>
        <v>55460</v>
      </c>
      <c r="G236" s="117">
        <f t="shared" si="47"/>
        <v>0</v>
      </c>
      <c r="H236" s="116">
        <f t="shared" si="55"/>
        <v>55460</v>
      </c>
      <c r="I236" s="116">
        <f t="shared" si="48"/>
        <v>55785</v>
      </c>
      <c r="J236" s="119">
        <f t="shared" si="49"/>
        <v>60598</v>
      </c>
      <c r="K236" s="119">
        <f t="shared" si="50"/>
        <v>65996</v>
      </c>
      <c r="L236" s="110"/>
      <c r="M236" s="110"/>
      <c r="N236" s="110"/>
      <c r="O236" s="110"/>
      <c r="P236" s="110"/>
      <c r="Q236" s="110"/>
      <c r="R236" s="110"/>
    </row>
    <row r="237" spans="1:23" x14ac:dyDescent="0.3">
      <c r="A237" s="109">
        <v>212</v>
      </c>
      <c r="B237" s="58">
        <f t="shared" si="51"/>
        <v>1497898</v>
      </c>
      <c r="C237" s="116">
        <f t="shared" si="52"/>
        <v>51586</v>
      </c>
      <c r="D237" s="117">
        <f t="shared" si="53"/>
        <v>3874</v>
      </c>
      <c r="E237" s="297">
        <f t="shared" si="54"/>
        <v>39779</v>
      </c>
      <c r="F237" s="116">
        <f t="shared" si="46"/>
        <v>55460</v>
      </c>
      <c r="G237" s="117">
        <f t="shared" si="47"/>
        <v>0</v>
      </c>
      <c r="H237" s="116">
        <f t="shared" si="55"/>
        <v>55460</v>
      </c>
      <c r="I237" s="116">
        <f t="shared" si="48"/>
        <v>55785</v>
      </c>
      <c r="J237" s="119">
        <f t="shared" si="49"/>
        <v>60598</v>
      </c>
      <c r="K237" s="119">
        <f t="shared" si="50"/>
        <v>65996</v>
      </c>
      <c r="L237" s="110"/>
      <c r="M237" s="110"/>
      <c r="N237" s="110"/>
      <c r="O237" s="110"/>
      <c r="P237" s="110"/>
      <c r="Q237" s="110"/>
      <c r="R237" s="110"/>
    </row>
    <row r="238" spans="1:23" x14ac:dyDescent="0.3">
      <c r="A238" s="109">
        <v>213</v>
      </c>
      <c r="B238" s="58">
        <f t="shared" si="51"/>
        <v>1446183</v>
      </c>
      <c r="C238" s="116">
        <f t="shared" si="52"/>
        <v>51715</v>
      </c>
      <c r="D238" s="117">
        <f t="shared" si="53"/>
        <v>3745</v>
      </c>
      <c r="E238" s="297">
        <f t="shared" si="54"/>
        <v>39779</v>
      </c>
      <c r="F238" s="116">
        <f t="shared" si="46"/>
        <v>55460</v>
      </c>
      <c r="G238" s="117">
        <f t="shared" si="47"/>
        <v>0</v>
      </c>
      <c r="H238" s="116">
        <f t="shared" si="55"/>
        <v>55460</v>
      </c>
      <c r="I238" s="116">
        <f t="shared" si="48"/>
        <v>55785</v>
      </c>
      <c r="J238" s="119">
        <f t="shared" si="49"/>
        <v>60598</v>
      </c>
      <c r="K238" s="119">
        <f t="shared" si="50"/>
        <v>65996</v>
      </c>
      <c r="L238" s="110"/>
      <c r="M238" s="110"/>
      <c r="N238" s="110"/>
      <c r="O238" s="110"/>
      <c r="P238" s="110"/>
      <c r="Q238" s="110"/>
      <c r="R238" s="110"/>
    </row>
    <row r="239" spans="1:23" x14ac:dyDescent="0.3">
      <c r="A239" s="109">
        <v>214</v>
      </c>
      <c r="B239" s="58">
        <f t="shared" si="51"/>
        <v>1394338</v>
      </c>
      <c r="C239" s="116">
        <f t="shared" si="52"/>
        <v>51845</v>
      </c>
      <c r="D239" s="117">
        <f t="shared" si="53"/>
        <v>3615</v>
      </c>
      <c r="E239" s="297">
        <f t="shared" si="54"/>
        <v>39779</v>
      </c>
      <c r="F239" s="116">
        <f t="shared" si="46"/>
        <v>55460</v>
      </c>
      <c r="G239" s="117">
        <f t="shared" si="47"/>
        <v>0</v>
      </c>
      <c r="H239" s="116">
        <f t="shared" si="55"/>
        <v>55460</v>
      </c>
      <c r="I239" s="116">
        <f t="shared" si="48"/>
        <v>55785</v>
      </c>
      <c r="J239" s="119">
        <f t="shared" si="49"/>
        <v>60598</v>
      </c>
      <c r="K239" s="119">
        <f t="shared" si="50"/>
        <v>65996</v>
      </c>
      <c r="L239" s="110"/>
      <c r="M239" s="110"/>
      <c r="N239" s="110"/>
      <c r="O239" s="110"/>
      <c r="P239" s="110"/>
      <c r="Q239" s="110"/>
      <c r="R239" s="110"/>
    </row>
    <row r="240" spans="1:23" x14ac:dyDescent="0.3">
      <c r="A240" s="109">
        <v>215</v>
      </c>
      <c r="B240" s="58">
        <f t="shared" si="51"/>
        <v>1342364</v>
      </c>
      <c r="C240" s="116">
        <f t="shared" si="52"/>
        <v>51974</v>
      </c>
      <c r="D240" s="117">
        <f t="shared" si="53"/>
        <v>3486</v>
      </c>
      <c r="E240" s="297">
        <f t="shared" si="54"/>
        <v>39779</v>
      </c>
      <c r="F240" s="116">
        <f t="shared" si="46"/>
        <v>55460</v>
      </c>
      <c r="G240" s="117">
        <f t="shared" si="47"/>
        <v>0</v>
      </c>
      <c r="H240" s="116">
        <f t="shared" si="55"/>
        <v>55460</v>
      </c>
      <c r="I240" s="116">
        <f t="shared" si="48"/>
        <v>55785</v>
      </c>
      <c r="J240" s="119">
        <f t="shared" si="49"/>
        <v>60598</v>
      </c>
      <c r="K240" s="119">
        <f t="shared" si="50"/>
        <v>65996</v>
      </c>
      <c r="L240" s="110"/>
      <c r="M240" s="110"/>
      <c r="N240" s="110"/>
      <c r="O240" s="110"/>
      <c r="P240" s="110"/>
      <c r="Q240" s="110"/>
      <c r="R240" s="110"/>
    </row>
    <row r="241" spans="1:23" x14ac:dyDescent="0.3">
      <c r="A241" s="109">
        <v>216</v>
      </c>
      <c r="B241" s="58">
        <f t="shared" si="51"/>
        <v>1290260</v>
      </c>
      <c r="C241" s="116">
        <f t="shared" si="52"/>
        <v>52104</v>
      </c>
      <c r="D241" s="117">
        <f t="shared" si="53"/>
        <v>3356</v>
      </c>
      <c r="E241" s="297">
        <f t="shared" si="54"/>
        <v>39779</v>
      </c>
      <c r="F241" s="116">
        <f t="shared" si="46"/>
        <v>55460</v>
      </c>
      <c r="G241" s="117">
        <f t="shared" si="47"/>
        <v>0</v>
      </c>
      <c r="H241" s="116">
        <f t="shared" si="55"/>
        <v>55460</v>
      </c>
      <c r="I241" s="116">
        <f t="shared" si="48"/>
        <v>55785</v>
      </c>
      <c r="J241" s="119">
        <f t="shared" si="49"/>
        <v>60598</v>
      </c>
      <c r="K241" s="119">
        <f t="shared" si="50"/>
        <v>65996</v>
      </c>
      <c r="L241" s="58">
        <f t="shared" ref="L241:Q241" si="57">SUM(C230:C241)</f>
        <v>616743</v>
      </c>
      <c r="M241" s="58">
        <f t="shared" si="57"/>
        <v>48777</v>
      </c>
      <c r="N241" s="58">
        <f t="shared" si="57"/>
        <v>477348</v>
      </c>
      <c r="O241" s="58">
        <f t="shared" si="57"/>
        <v>665520</v>
      </c>
      <c r="P241" s="58">
        <f t="shared" si="57"/>
        <v>0</v>
      </c>
      <c r="Q241" s="58">
        <f t="shared" si="57"/>
        <v>665520</v>
      </c>
      <c r="R241" s="58">
        <f>SUM(J230:J241)</f>
        <v>727176</v>
      </c>
      <c r="S241" s="29">
        <f>SUM(K230:K241)</f>
        <v>791952</v>
      </c>
      <c r="T241" s="29"/>
      <c r="U241" s="29"/>
      <c r="V241" s="29"/>
      <c r="W241" s="29"/>
    </row>
    <row r="242" spans="1:23" x14ac:dyDescent="0.3">
      <c r="A242" s="109">
        <v>217</v>
      </c>
      <c r="B242" s="58">
        <f t="shared" si="51"/>
        <v>1238026</v>
      </c>
      <c r="C242" s="116">
        <f t="shared" si="52"/>
        <v>52234</v>
      </c>
      <c r="D242" s="117">
        <f t="shared" si="53"/>
        <v>3226</v>
      </c>
      <c r="E242" s="297">
        <f t="shared" si="54"/>
        <v>39779</v>
      </c>
      <c r="F242" s="116">
        <f t="shared" si="46"/>
        <v>55460</v>
      </c>
      <c r="G242" s="117">
        <f t="shared" si="47"/>
        <v>0</v>
      </c>
      <c r="H242" s="116">
        <f t="shared" si="55"/>
        <v>55460</v>
      </c>
      <c r="I242" s="116">
        <f t="shared" si="48"/>
        <v>55785</v>
      </c>
      <c r="J242" s="119">
        <f t="shared" si="49"/>
        <v>60598</v>
      </c>
      <c r="K242" s="119">
        <f t="shared" si="50"/>
        <v>65996</v>
      </c>
      <c r="L242" s="110"/>
      <c r="M242" s="110"/>
      <c r="N242" s="110"/>
      <c r="O242" s="110"/>
      <c r="P242" s="110"/>
      <c r="Q242" s="110"/>
      <c r="R242" s="110"/>
    </row>
    <row r="243" spans="1:23" x14ac:dyDescent="0.3">
      <c r="A243" s="109">
        <v>218</v>
      </c>
      <c r="B243" s="58">
        <f t="shared" si="51"/>
        <v>1185661</v>
      </c>
      <c r="C243" s="116">
        <f t="shared" si="52"/>
        <v>52365</v>
      </c>
      <c r="D243" s="117">
        <f t="shared" si="53"/>
        <v>3095</v>
      </c>
      <c r="E243" s="297">
        <f t="shared" si="54"/>
        <v>39779</v>
      </c>
      <c r="F243" s="116">
        <f t="shared" si="46"/>
        <v>55460</v>
      </c>
      <c r="G243" s="117">
        <f t="shared" si="47"/>
        <v>0</v>
      </c>
      <c r="H243" s="116">
        <f t="shared" si="55"/>
        <v>55460</v>
      </c>
      <c r="I243" s="116">
        <f t="shared" si="48"/>
        <v>55785</v>
      </c>
      <c r="J243" s="119">
        <f t="shared" si="49"/>
        <v>60598</v>
      </c>
      <c r="K243" s="119">
        <f t="shared" si="50"/>
        <v>65996</v>
      </c>
      <c r="L243" s="110"/>
      <c r="M243" s="110"/>
      <c r="N243" s="110"/>
      <c r="O243" s="110"/>
      <c r="P243" s="110"/>
      <c r="Q243" s="110"/>
      <c r="R243" s="110"/>
    </row>
    <row r="244" spans="1:23" x14ac:dyDescent="0.3">
      <c r="A244" s="109">
        <v>219</v>
      </c>
      <c r="B244" s="58">
        <f t="shared" si="51"/>
        <v>1133165</v>
      </c>
      <c r="C244" s="116">
        <f t="shared" si="52"/>
        <v>52496</v>
      </c>
      <c r="D244" s="117">
        <f t="shared" si="53"/>
        <v>2964</v>
      </c>
      <c r="E244" s="297">
        <f t="shared" si="54"/>
        <v>39779</v>
      </c>
      <c r="F244" s="116">
        <f t="shared" si="46"/>
        <v>55460</v>
      </c>
      <c r="G244" s="117">
        <f t="shared" si="47"/>
        <v>0</v>
      </c>
      <c r="H244" s="116">
        <f t="shared" si="55"/>
        <v>55460</v>
      </c>
      <c r="I244" s="116">
        <f t="shared" si="48"/>
        <v>55785</v>
      </c>
      <c r="J244" s="119">
        <f t="shared" si="49"/>
        <v>60598</v>
      </c>
      <c r="K244" s="119">
        <f t="shared" si="50"/>
        <v>65996</v>
      </c>
      <c r="L244" s="110"/>
      <c r="M244" s="110"/>
      <c r="N244" s="110"/>
      <c r="O244" s="110"/>
      <c r="P244" s="110"/>
      <c r="Q244" s="110"/>
      <c r="R244" s="110"/>
    </row>
    <row r="245" spans="1:23" x14ac:dyDescent="0.3">
      <c r="A245" s="109">
        <v>220</v>
      </c>
      <c r="B245" s="58">
        <f t="shared" si="51"/>
        <v>1080538</v>
      </c>
      <c r="C245" s="116">
        <f t="shared" si="52"/>
        <v>52627</v>
      </c>
      <c r="D245" s="117">
        <f t="shared" si="53"/>
        <v>2833</v>
      </c>
      <c r="E245" s="297">
        <f t="shared" si="54"/>
        <v>39779</v>
      </c>
      <c r="F245" s="116">
        <f t="shared" si="46"/>
        <v>55460</v>
      </c>
      <c r="G245" s="117">
        <f t="shared" si="47"/>
        <v>0</v>
      </c>
      <c r="H245" s="116">
        <f t="shared" si="55"/>
        <v>55460</v>
      </c>
      <c r="I245" s="116">
        <f t="shared" si="48"/>
        <v>55785</v>
      </c>
      <c r="J245" s="119">
        <f t="shared" si="49"/>
        <v>60598</v>
      </c>
      <c r="K245" s="119">
        <f t="shared" si="50"/>
        <v>65996</v>
      </c>
      <c r="L245" s="110"/>
      <c r="M245" s="110"/>
      <c r="N245" s="110"/>
      <c r="O245" s="110"/>
      <c r="P245" s="110"/>
      <c r="Q245" s="110"/>
      <c r="R245" s="110"/>
    </row>
    <row r="246" spans="1:23" x14ac:dyDescent="0.3">
      <c r="A246" s="109">
        <v>221</v>
      </c>
      <c r="B246" s="58">
        <f t="shared" si="51"/>
        <v>1027779</v>
      </c>
      <c r="C246" s="116">
        <f t="shared" si="52"/>
        <v>52759</v>
      </c>
      <c r="D246" s="117">
        <f t="shared" si="53"/>
        <v>2701</v>
      </c>
      <c r="E246" s="297">
        <f t="shared" si="54"/>
        <v>39779</v>
      </c>
      <c r="F246" s="116">
        <f t="shared" si="46"/>
        <v>55460</v>
      </c>
      <c r="G246" s="117">
        <f t="shared" si="47"/>
        <v>0</v>
      </c>
      <c r="H246" s="116">
        <f t="shared" si="55"/>
        <v>55460</v>
      </c>
      <c r="I246" s="116">
        <f t="shared" si="48"/>
        <v>55785</v>
      </c>
      <c r="J246" s="119">
        <f t="shared" si="49"/>
        <v>60598</v>
      </c>
      <c r="K246" s="119">
        <f t="shared" si="50"/>
        <v>65996</v>
      </c>
      <c r="L246" s="110"/>
      <c r="M246" s="110"/>
      <c r="N246" s="110"/>
      <c r="O246" s="110"/>
      <c r="P246" s="110"/>
      <c r="Q246" s="110"/>
      <c r="R246" s="110"/>
    </row>
    <row r="247" spans="1:23" x14ac:dyDescent="0.3">
      <c r="A247" s="109">
        <v>222</v>
      </c>
      <c r="B247" s="58">
        <f t="shared" si="51"/>
        <v>974888</v>
      </c>
      <c r="C247" s="116">
        <f t="shared" si="52"/>
        <v>52891</v>
      </c>
      <c r="D247" s="117">
        <f t="shared" si="53"/>
        <v>2569</v>
      </c>
      <c r="E247" s="297">
        <f t="shared" si="54"/>
        <v>39779</v>
      </c>
      <c r="F247" s="116">
        <f t="shared" si="46"/>
        <v>55460</v>
      </c>
      <c r="G247" s="117">
        <f t="shared" si="47"/>
        <v>0</v>
      </c>
      <c r="H247" s="116">
        <f t="shared" si="55"/>
        <v>55460</v>
      </c>
      <c r="I247" s="116">
        <f t="shared" si="48"/>
        <v>55785</v>
      </c>
      <c r="J247" s="119">
        <f t="shared" si="49"/>
        <v>60598</v>
      </c>
      <c r="K247" s="119">
        <f t="shared" si="50"/>
        <v>65996</v>
      </c>
      <c r="L247" s="110"/>
      <c r="M247" s="110"/>
      <c r="N247" s="110"/>
      <c r="O247" s="110"/>
      <c r="P247" s="110"/>
      <c r="Q247" s="110"/>
      <c r="R247" s="110"/>
    </row>
    <row r="248" spans="1:23" x14ac:dyDescent="0.3">
      <c r="A248" s="109">
        <v>223</v>
      </c>
      <c r="B248" s="58">
        <f t="shared" si="51"/>
        <v>921865</v>
      </c>
      <c r="C248" s="116">
        <f t="shared" si="52"/>
        <v>53023</v>
      </c>
      <c r="D248" s="117">
        <f t="shared" si="53"/>
        <v>2437</v>
      </c>
      <c r="E248" s="297">
        <f t="shared" si="54"/>
        <v>39779</v>
      </c>
      <c r="F248" s="116">
        <f t="shared" si="46"/>
        <v>55460</v>
      </c>
      <c r="G248" s="117">
        <f t="shared" si="47"/>
        <v>0</v>
      </c>
      <c r="H248" s="116">
        <f t="shared" si="55"/>
        <v>55460</v>
      </c>
      <c r="I248" s="116">
        <f t="shared" si="48"/>
        <v>55785</v>
      </c>
      <c r="J248" s="119">
        <f t="shared" si="49"/>
        <v>60598</v>
      </c>
      <c r="K248" s="119">
        <f t="shared" si="50"/>
        <v>65996</v>
      </c>
      <c r="L248" s="110"/>
      <c r="M248" s="110"/>
      <c r="N248" s="110"/>
      <c r="O248" s="110"/>
      <c r="P248" s="110"/>
      <c r="Q248" s="110"/>
      <c r="R248" s="110"/>
    </row>
    <row r="249" spans="1:23" x14ac:dyDescent="0.3">
      <c r="A249" s="109">
        <v>224</v>
      </c>
      <c r="B249" s="58">
        <f t="shared" si="51"/>
        <v>868710</v>
      </c>
      <c r="C249" s="116">
        <f t="shared" si="52"/>
        <v>53155</v>
      </c>
      <c r="D249" s="117">
        <f t="shared" si="53"/>
        <v>2305</v>
      </c>
      <c r="E249" s="297">
        <f t="shared" si="54"/>
        <v>39779</v>
      </c>
      <c r="F249" s="116">
        <f t="shared" si="46"/>
        <v>55460</v>
      </c>
      <c r="G249" s="117">
        <f t="shared" si="47"/>
        <v>0</v>
      </c>
      <c r="H249" s="116">
        <f t="shared" si="55"/>
        <v>55460</v>
      </c>
      <c r="I249" s="116">
        <f t="shared" si="48"/>
        <v>55785</v>
      </c>
      <c r="J249" s="119">
        <f t="shared" si="49"/>
        <v>60598</v>
      </c>
      <c r="K249" s="119">
        <f t="shared" si="50"/>
        <v>65996</v>
      </c>
      <c r="L249" s="110"/>
      <c r="M249" s="110"/>
      <c r="N249" s="110"/>
      <c r="O249" s="110"/>
      <c r="P249" s="110"/>
      <c r="Q249" s="110"/>
      <c r="R249" s="110"/>
    </row>
    <row r="250" spans="1:23" x14ac:dyDescent="0.3">
      <c r="A250" s="109">
        <v>225</v>
      </c>
      <c r="B250" s="58">
        <f t="shared" si="51"/>
        <v>815422</v>
      </c>
      <c r="C250" s="116">
        <f t="shared" si="52"/>
        <v>53288</v>
      </c>
      <c r="D250" s="117">
        <f t="shared" si="53"/>
        <v>2172</v>
      </c>
      <c r="E250" s="297">
        <f t="shared" si="54"/>
        <v>39779</v>
      </c>
      <c r="F250" s="116">
        <f t="shared" si="46"/>
        <v>55460</v>
      </c>
      <c r="G250" s="117">
        <f t="shared" si="47"/>
        <v>0</v>
      </c>
      <c r="H250" s="116">
        <f t="shared" si="55"/>
        <v>55460</v>
      </c>
      <c r="I250" s="116">
        <f t="shared" si="48"/>
        <v>55785</v>
      </c>
      <c r="J250" s="119">
        <f t="shared" si="49"/>
        <v>60598</v>
      </c>
      <c r="K250" s="119">
        <f t="shared" si="50"/>
        <v>65996</v>
      </c>
      <c r="L250" s="110"/>
      <c r="M250" s="110"/>
      <c r="N250" s="110"/>
      <c r="O250" s="110"/>
      <c r="P250" s="110"/>
      <c r="Q250" s="110"/>
      <c r="R250" s="110"/>
    </row>
    <row r="251" spans="1:23" x14ac:dyDescent="0.3">
      <c r="A251" s="109">
        <v>226</v>
      </c>
      <c r="B251" s="58">
        <f t="shared" si="51"/>
        <v>762001</v>
      </c>
      <c r="C251" s="116">
        <f t="shared" si="52"/>
        <v>53421</v>
      </c>
      <c r="D251" s="117">
        <f t="shared" si="53"/>
        <v>2039</v>
      </c>
      <c r="E251" s="297">
        <f t="shared" si="54"/>
        <v>39779</v>
      </c>
      <c r="F251" s="116">
        <f t="shared" si="46"/>
        <v>55460</v>
      </c>
      <c r="G251" s="117">
        <f t="shared" si="47"/>
        <v>0</v>
      </c>
      <c r="H251" s="116">
        <f t="shared" si="55"/>
        <v>55460</v>
      </c>
      <c r="I251" s="116">
        <f t="shared" si="48"/>
        <v>55785</v>
      </c>
      <c r="J251" s="119">
        <f t="shared" si="49"/>
        <v>60598</v>
      </c>
      <c r="K251" s="119">
        <f t="shared" si="50"/>
        <v>65996</v>
      </c>
      <c r="L251" s="110"/>
      <c r="M251" s="110"/>
      <c r="N251" s="110"/>
      <c r="O251" s="110"/>
      <c r="P251" s="110"/>
      <c r="Q251" s="110"/>
      <c r="R251" s="110"/>
    </row>
    <row r="252" spans="1:23" x14ac:dyDescent="0.3">
      <c r="A252" s="109">
        <v>227</v>
      </c>
      <c r="B252" s="58">
        <f t="shared" si="51"/>
        <v>708446</v>
      </c>
      <c r="C252" s="116">
        <f t="shared" si="52"/>
        <v>53555</v>
      </c>
      <c r="D252" s="117">
        <f t="shared" si="53"/>
        <v>1905</v>
      </c>
      <c r="E252" s="297">
        <f t="shared" si="54"/>
        <v>39779</v>
      </c>
      <c r="F252" s="116">
        <f t="shared" si="46"/>
        <v>55460</v>
      </c>
      <c r="G252" s="117">
        <f t="shared" si="47"/>
        <v>0</v>
      </c>
      <c r="H252" s="116">
        <f t="shared" si="55"/>
        <v>55460</v>
      </c>
      <c r="I252" s="116">
        <f t="shared" si="48"/>
        <v>55785</v>
      </c>
      <c r="J252" s="119">
        <f t="shared" si="49"/>
        <v>60598</v>
      </c>
      <c r="K252" s="119">
        <f t="shared" si="50"/>
        <v>65996</v>
      </c>
      <c r="L252" s="110"/>
      <c r="M252" s="110"/>
      <c r="N252" s="110"/>
      <c r="O252" s="110"/>
      <c r="P252" s="110"/>
      <c r="Q252" s="110"/>
      <c r="R252" s="110"/>
    </row>
    <row r="253" spans="1:23" x14ac:dyDescent="0.3">
      <c r="A253" s="109">
        <v>228</v>
      </c>
      <c r="B253" s="58">
        <f t="shared" si="51"/>
        <v>654757</v>
      </c>
      <c r="C253" s="116">
        <f t="shared" si="52"/>
        <v>53689</v>
      </c>
      <c r="D253" s="117">
        <f t="shared" si="53"/>
        <v>1771</v>
      </c>
      <c r="E253" s="297">
        <f t="shared" si="54"/>
        <v>39779</v>
      </c>
      <c r="F253" s="116">
        <f t="shared" si="46"/>
        <v>55460</v>
      </c>
      <c r="G253" s="117">
        <f t="shared" si="47"/>
        <v>0</v>
      </c>
      <c r="H253" s="116">
        <f t="shared" si="55"/>
        <v>55460</v>
      </c>
      <c r="I253" s="116">
        <f t="shared" si="48"/>
        <v>55785</v>
      </c>
      <c r="J253" s="119">
        <f t="shared" si="49"/>
        <v>60598</v>
      </c>
      <c r="K253" s="119">
        <f t="shared" si="50"/>
        <v>65996</v>
      </c>
      <c r="L253" s="58">
        <f t="shared" ref="L253:Q253" si="58">SUM(C242:C253)</f>
        <v>635503</v>
      </c>
      <c r="M253" s="58">
        <f t="shared" si="58"/>
        <v>30017</v>
      </c>
      <c r="N253" s="58">
        <f t="shared" si="58"/>
        <v>477348</v>
      </c>
      <c r="O253" s="58">
        <f t="shared" si="58"/>
        <v>665520</v>
      </c>
      <c r="P253" s="58">
        <f t="shared" si="58"/>
        <v>0</v>
      </c>
      <c r="Q253" s="58">
        <f t="shared" si="58"/>
        <v>665520</v>
      </c>
      <c r="R253" s="58">
        <f>SUM(J242:J253)</f>
        <v>727176</v>
      </c>
      <c r="S253" s="29">
        <f>SUM(K242:K253)</f>
        <v>791952</v>
      </c>
      <c r="T253" s="29"/>
      <c r="U253" s="29"/>
      <c r="V253" s="29"/>
      <c r="W253" s="29"/>
    </row>
    <row r="254" spans="1:23" x14ac:dyDescent="0.3">
      <c r="A254" s="109">
        <v>229</v>
      </c>
      <c r="B254" s="58">
        <f t="shared" si="51"/>
        <v>600934</v>
      </c>
      <c r="C254" s="116">
        <f t="shared" si="52"/>
        <v>53823</v>
      </c>
      <c r="D254" s="117">
        <f t="shared" si="53"/>
        <v>1637</v>
      </c>
      <c r="E254" s="297">
        <f t="shared" si="54"/>
        <v>39779</v>
      </c>
      <c r="F254" s="116">
        <f t="shared" si="46"/>
        <v>55460</v>
      </c>
      <c r="G254" s="117">
        <f t="shared" si="47"/>
        <v>0</v>
      </c>
      <c r="H254" s="116">
        <f t="shared" si="55"/>
        <v>55460</v>
      </c>
      <c r="I254" s="116">
        <f t="shared" si="48"/>
        <v>55785</v>
      </c>
      <c r="J254" s="119">
        <f t="shared" si="49"/>
        <v>60598</v>
      </c>
      <c r="K254" s="119">
        <f t="shared" si="50"/>
        <v>65996</v>
      </c>
      <c r="L254" s="110"/>
      <c r="M254" s="110"/>
      <c r="N254" s="110"/>
      <c r="O254" s="110"/>
      <c r="P254" s="110"/>
      <c r="Q254" s="110"/>
      <c r="R254" s="110"/>
    </row>
    <row r="255" spans="1:23" x14ac:dyDescent="0.3">
      <c r="A255" s="109">
        <v>230</v>
      </c>
      <c r="B255" s="58">
        <f t="shared" si="51"/>
        <v>546976</v>
      </c>
      <c r="C255" s="116">
        <f t="shared" si="52"/>
        <v>53958</v>
      </c>
      <c r="D255" s="117">
        <f t="shared" si="53"/>
        <v>1502</v>
      </c>
      <c r="E255" s="297">
        <f t="shared" si="54"/>
        <v>39779</v>
      </c>
      <c r="F255" s="116">
        <f t="shared" si="46"/>
        <v>55460</v>
      </c>
      <c r="G255" s="117">
        <f t="shared" si="47"/>
        <v>0</v>
      </c>
      <c r="H255" s="116">
        <f t="shared" si="55"/>
        <v>55460</v>
      </c>
      <c r="I255" s="116">
        <f t="shared" si="48"/>
        <v>55785</v>
      </c>
      <c r="J255" s="119">
        <f t="shared" si="49"/>
        <v>60598</v>
      </c>
      <c r="K255" s="119">
        <f t="shared" si="50"/>
        <v>65996</v>
      </c>
      <c r="L255" s="110"/>
      <c r="M255" s="110"/>
      <c r="N255" s="110"/>
      <c r="O255" s="110"/>
      <c r="P255" s="110"/>
      <c r="Q255" s="110"/>
      <c r="R255" s="110"/>
    </row>
    <row r="256" spans="1:23" x14ac:dyDescent="0.3">
      <c r="A256" s="109">
        <v>231</v>
      </c>
      <c r="B256" s="58">
        <f t="shared" si="51"/>
        <v>492883</v>
      </c>
      <c r="C256" s="116">
        <f t="shared" si="52"/>
        <v>54093</v>
      </c>
      <c r="D256" s="117">
        <f t="shared" si="53"/>
        <v>1367</v>
      </c>
      <c r="E256" s="297">
        <f t="shared" si="54"/>
        <v>39779</v>
      </c>
      <c r="F256" s="116">
        <f t="shared" si="46"/>
        <v>55460</v>
      </c>
      <c r="G256" s="117">
        <f t="shared" si="47"/>
        <v>0</v>
      </c>
      <c r="H256" s="116">
        <f t="shared" si="55"/>
        <v>55460</v>
      </c>
      <c r="I256" s="116">
        <f t="shared" si="48"/>
        <v>55785</v>
      </c>
      <c r="J256" s="119">
        <f t="shared" si="49"/>
        <v>60598</v>
      </c>
      <c r="K256" s="119">
        <f t="shared" si="50"/>
        <v>65996</v>
      </c>
      <c r="L256" s="110"/>
      <c r="M256" s="110"/>
      <c r="N256" s="110"/>
      <c r="O256" s="110"/>
      <c r="P256" s="110"/>
      <c r="Q256" s="110"/>
      <c r="R256" s="110"/>
    </row>
    <row r="257" spans="1:23" x14ac:dyDescent="0.3">
      <c r="A257" s="109">
        <v>232</v>
      </c>
      <c r="B257" s="58">
        <f t="shared" si="51"/>
        <v>438655</v>
      </c>
      <c r="C257" s="116">
        <f t="shared" si="52"/>
        <v>54228</v>
      </c>
      <c r="D257" s="117">
        <f t="shared" si="53"/>
        <v>1232</v>
      </c>
      <c r="E257" s="297">
        <f t="shared" si="54"/>
        <v>39779</v>
      </c>
      <c r="F257" s="116">
        <f t="shared" si="46"/>
        <v>55460</v>
      </c>
      <c r="G257" s="117">
        <f t="shared" si="47"/>
        <v>0</v>
      </c>
      <c r="H257" s="116">
        <f t="shared" si="55"/>
        <v>55460</v>
      </c>
      <c r="I257" s="116">
        <f t="shared" si="48"/>
        <v>55785</v>
      </c>
      <c r="J257" s="119">
        <f t="shared" si="49"/>
        <v>60598</v>
      </c>
      <c r="K257" s="119">
        <f t="shared" si="50"/>
        <v>65996</v>
      </c>
      <c r="L257" s="110"/>
      <c r="M257" s="110"/>
      <c r="N257" s="110"/>
      <c r="O257" s="110"/>
      <c r="P257" s="110"/>
      <c r="Q257" s="110"/>
      <c r="R257" s="110"/>
    </row>
    <row r="258" spans="1:23" x14ac:dyDescent="0.3">
      <c r="A258" s="109">
        <v>233</v>
      </c>
      <c r="B258" s="58">
        <f t="shared" si="51"/>
        <v>384292</v>
      </c>
      <c r="C258" s="116">
        <f t="shared" si="52"/>
        <v>54363</v>
      </c>
      <c r="D258" s="117">
        <f t="shared" si="53"/>
        <v>1097</v>
      </c>
      <c r="E258" s="297">
        <f t="shared" si="54"/>
        <v>39779</v>
      </c>
      <c r="F258" s="116">
        <f t="shared" si="46"/>
        <v>55460</v>
      </c>
      <c r="G258" s="117">
        <f t="shared" si="47"/>
        <v>0</v>
      </c>
      <c r="H258" s="116">
        <f t="shared" si="55"/>
        <v>55460</v>
      </c>
      <c r="I258" s="116">
        <f t="shared" si="48"/>
        <v>55785</v>
      </c>
      <c r="J258" s="119">
        <f t="shared" si="49"/>
        <v>60598</v>
      </c>
      <c r="K258" s="119">
        <f t="shared" si="50"/>
        <v>65996</v>
      </c>
      <c r="L258" s="110"/>
      <c r="M258" s="110"/>
      <c r="N258" s="110"/>
      <c r="O258" s="110"/>
      <c r="P258" s="110"/>
      <c r="Q258" s="110"/>
      <c r="R258" s="110"/>
    </row>
    <row r="259" spans="1:23" x14ac:dyDescent="0.3">
      <c r="A259" s="109">
        <v>234</v>
      </c>
      <c r="B259" s="58">
        <f t="shared" si="51"/>
        <v>329793</v>
      </c>
      <c r="C259" s="116">
        <f t="shared" si="52"/>
        <v>54499</v>
      </c>
      <c r="D259" s="117">
        <f t="shared" si="53"/>
        <v>961</v>
      </c>
      <c r="E259" s="297">
        <f t="shared" si="54"/>
        <v>39779</v>
      </c>
      <c r="F259" s="116">
        <f t="shared" si="46"/>
        <v>55460</v>
      </c>
      <c r="G259" s="117">
        <f t="shared" si="47"/>
        <v>0</v>
      </c>
      <c r="H259" s="116">
        <f t="shared" si="55"/>
        <v>55460</v>
      </c>
      <c r="I259" s="116">
        <f t="shared" si="48"/>
        <v>55785</v>
      </c>
      <c r="J259" s="119">
        <f t="shared" si="49"/>
        <v>60598</v>
      </c>
      <c r="K259" s="119">
        <f t="shared" si="50"/>
        <v>65996</v>
      </c>
      <c r="L259" s="110"/>
      <c r="M259" s="110"/>
      <c r="N259" s="110"/>
      <c r="O259" s="110"/>
      <c r="P259" s="110"/>
      <c r="Q259" s="110"/>
      <c r="R259" s="110"/>
    </row>
    <row r="260" spans="1:23" x14ac:dyDescent="0.3">
      <c r="A260" s="109">
        <v>235</v>
      </c>
      <c r="B260" s="58">
        <f t="shared" si="51"/>
        <v>275157</v>
      </c>
      <c r="C260" s="116">
        <f t="shared" si="52"/>
        <v>54636</v>
      </c>
      <c r="D260" s="117">
        <f t="shared" si="53"/>
        <v>824</v>
      </c>
      <c r="E260" s="297">
        <f t="shared" si="54"/>
        <v>39779</v>
      </c>
      <c r="F260" s="116">
        <f t="shared" si="46"/>
        <v>55460</v>
      </c>
      <c r="G260" s="117">
        <f t="shared" si="47"/>
        <v>0</v>
      </c>
      <c r="H260" s="116">
        <f t="shared" si="55"/>
        <v>55460</v>
      </c>
      <c r="I260" s="116">
        <f t="shared" si="48"/>
        <v>55785</v>
      </c>
      <c r="J260" s="119">
        <f t="shared" si="49"/>
        <v>60598</v>
      </c>
      <c r="K260" s="119">
        <f t="shared" si="50"/>
        <v>65996</v>
      </c>
      <c r="L260" s="110"/>
      <c r="M260" s="110"/>
      <c r="N260" s="110"/>
      <c r="O260" s="110"/>
      <c r="P260" s="110"/>
      <c r="Q260" s="110"/>
      <c r="R260" s="110"/>
    </row>
    <row r="261" spans="1:23" x14ac:dyDescent="0.3">
      <c r="A261" s="109">
        <v>236</v>
      </c>
      <c r="B261" s="58">
        <f t="shared" si="51"/>
        <v>220385</v>
      </c>
      <c r="C261" s="116">
        <f t="shared" si="52"/>
        <v>54772</v>
      </c>
      <c r="D261" s="117">
        <f t="shared" si="53"/>
        <v>688</v>
      </c>
      <c r="E261" s="297">
        <f t="shared" si="54"/>
        <v>39779</v>
      </c>
      <c r="F261" s="116">
        <f t="shared" si="46"/>
        <v>55460</v>
      </c>
      <c r="G261" s="117">
        <f t="shared" si="47"/>
        <v>0</v>
      </c>
      <c r="H261" s="116">
        <f t="shared" si="55"/>
        <v>55460</v>
      </c>
      <c r="I261" s="116">
        <f t="shared" si="48"/>
        <v>55785</v>
      </c>
      <c r="J261" s="119">
        <f t="shared" si="49"/>
        <v>60598</v>
      </c>
      <c r="K261" s="119">
        <f t="shared" si="50"/>
        <v>65996</v>
      </c>
      <c r="L261" s="110"/>
      <c r="M261" s="110"/>
      <c r="N261" s="110"/>
      <c r="O261" s="110"/>
      <c r="P261" s="110"/>
      <c r="Q261" s="110"/>
      <c r="R261" s="110"/>
    </row>
    <row r="262" spans="1:23" x14ac:dyDescent="0.3">
      <c r="A262" s="109">
        <v>237</v>
      </c>
      <c r="B262" s="58">
        <f t="shared" si="51"/>
        <v>165476</v>
      </c>
      <c r="C262" s="116">
        <f t="shared" si="52"/>
        <v>54909</v>
      </c>
      <c r="D262" s="117">
        <f t="shared" si="53"/>
        <v>551</v>
      </c>
      <c r="E262" s="297">
        <f t="shared" si="54"/>
        <v>39779</v>
      </c>
      <c r="F262" s="116">
        <f t="shared" si="46"/>
        <v>55460</v>
      </c>
      <c r="G262" s="117">
        <f t="shared" si="47"/>
        <v>0</v>
      </c>
      <c r="H262" s="116">
        <f t="shared" si="55"/>
        <v>55460</v>
      </c>
      <c r="I262" s="116">
        <f t="shared" si="48"/>
        <v>55785</v>
      </c>
      <c r="J262" s="119">
        <f t="shared" si="49"/>
        <v>60598</v>
      </c>
      <c r="K262" s="119">
        <f t="shared" si="50"/>
        <v>65996</v>
      </c>
      <c r="L262" s="110"/>
      <c r="M262" s="110"/>
      <c r="N262" s="110"/>
      <c r="O262" s="110"/>
      <c r="P262" s="110"/>
      <c r="Q262" s="110"/>
      <c r="R262" s="110"/>
    </row>
    <row r="263" spans="1:23" x14ac:dyDescent="0.3">
      <c r="A263" s="109">
        <v>238</v>
      </c>
      <c r="B263" s="58">
        <f t="shared" si="51"/>
        <v>110430</v>
      </c>
      <c r="C263" s="116">
        <f t="shared" si="52"/>
        <v>55046</v>
      </c>
      <c r="D263" s="117">
        <f t="shared" si="53"/>
        <v>414</v>
      </c>
      <c r="E263" s="297">
        <f t="shared" si="54"/>
        <v>39779</v>
      </c>
      <c r="F263" s="116">
        <f t="shared" si="46"/>
        <v>55460</v>
      </c>
      <c r="G263" s="117">
        <f t="shared" si="47"/>
        <v>0</v>
      </c>
      <c r="H263" s="116">
        <f t="shared" si="55"/>
        <v>55460</v>
      </c>
      <c r="I263" s="116">
        <f t="shared" si="48"/>
        <v>55785</v>
      </c>
      <c r="J263" s="119">
        <f t="shared" si="49"/>
        <v>60598</v>
      </c>
      <c r="K263" s="119">
        <f t="shared" si="50"/>
        <v>65996</v>
      </c>
      <c r="L263" s="110"/>
      <c r="M263" s="110"/>
      <c r="N263" s="110"/>
      <c r="O263" s="110"/>
      <c r="P263" s="110"/>
      <c r="Q263" s="110"/>
      <c r="R263" s="110"/>
    </row>
    <row r="264" spans="1:23" x14ac:dyDescent="0.3">
      <c r="A264" s="109">
        <v>239</v>
      </c>
      <c r="B264" s="58">
        <f t="shared" si="51"/>
        <v>55246</v>
      </c>
      <c r="C264" s="116">
        <f t="shared" si="52"/>
        <v>55184</v>
      </c>
      <c r="D264" s="117">
        <f t="shared" si="53"/>
        <v>276</v>
      </c>
      <c r="E264" s="297">
        <f t="shared" si="54"/>
        <v>39779</v>
      </c>
      <c r="F264" s="116">
        <f t="shared" si="46"/>
        <v>55460</v>
      </c>
      <c r="G264" s="117">
        <f t="shared" si="47"/>
        <v>0</v>
      </c>
      <c r="H264" s="116">
        <f t="shared" si="55"/>
        <v>55460</v>
      </c>
      <c r="I264" s="116">
        <f t="shared" si="48"/>
        <v>55785</v>
      </c>
      <c r="J264" s="119">
        <f t="shared" si="49"/>
        <v>60598</v>
      </c>
      <c r="K264" s="119">
        <f t="shared" si="50"/>
        <v>65996</v>
      </c>
      <c r="L264" s="110"/>
      <c r="M264" s="110"/>
      <c r="N264" s="110"/>
      <c r="O264" s="110"/>
      <c r="P264" s="110"/>
      <c r="Q264" s="110"/>
      <c r="R264" s="110"/>
    </row>
    <row r="265" spans="1:23" x14ac:dyDescent="0.3">
      <c r="A265" s="109">
        <v>240</v>
      </c>
      <c r="B265" s="58">
        <f>B264-C265</f>
        <v>0</v>
      </c>
      <c r="C265" s="116">
        <f t="shared" si="52"/>
        <v>55246</v>
      </c>
      <c r="D265" s="117">
        <f t="shared" si="53"/>
        <v>138</v>
      </c>
      <c r="E265" s="297">
        <f t="shared" si="54"/>
        <v>39779</v>
      </c>
      <c r="F265" s="116">
        <f t="shared" si="46"/>
        <v>55384</v>
      </c>
      <c r="G265" s="117">
        <f t="shared" si="47"/>
        <v>0</v>
      </c>
      <c r="H265" s="116">
        <f t="shared" si="55"/>
        <v>55384</v>
      </c>
      <c r="I265" s="116">
        <f t="shared" si="48"/>
        <v>55709</v>
      </c>
      <c r="J265" s="119">
        <f t="shared" si="49"/>
        <v>55384</v>
      </c>
      <c r="K265" s="119">
        <f t="shared" si="50"/>
        <v>55384</v>
      </c>
      <c r="L265" s="58">
        <f t="shared" ref="L265:Q265" si="59">SUM(C254:C265)</f>
        <v>654757</v>
      </c>
      <c r="M265" s="58">
        <f t="shared" si="59"/>
        <v>10687</v>
      </c>
      <c r="N265" s="58">
        <f t="shared" si="59"/>
        <v>477348</v>
      </c>
      <c r="O265" s="58">
        <f t="shared" si="59"/>
        <v>665444</v>
      </c>
      <c r="P265" s="58">
        <f t="shared" si="59"/>
        <v>0</v>
      </c>
      <c r="Q265" s="58">
        <f t="shared" si="59"/>
        <v>665444</v>
      </c>
      <c r="R265" s="58">
        <f>SUM(J254:J265)</f>
        <v>721962</v>
      </c>
      <c r="S265" s="29">
        <f>SUM(K254:K265)</f>
        <v>781340</v>
      </c>
      <c r="T265" s="29"/>
      <c r="U265" s="29"/>
      <c r="V265" s="29"/>
      <c r="W265" s="29"/>
    </row>
    <row r="266" spans="1:23" x14ac:dyDescent="0.3">
      <c r="A266" s="109">
        <v>241</v>
      </c>
      <c r="B266" s="58">
        <f>B265-C266</f>
        <v>0</v>
      </c>
      <c r="C266" s="116">
        <f t="shared" si="52"/>
        <v>0</v>
      </c>
      <c r="D266" s="117">
        <f t="shared" si="53"/>
        <v>0</v>
      </c>
      <c r="E266" s="297">
        <f t="shared" si="54"/>
        <v>0</v>
      </c>
      <c r="F266" s="116">
        <f t="shared" si="46"/>
        <v>0</v>
      </c>
      <c r="G266" s="117">
        <f t="shared" si="47"/>
        <v>0</v>
      </c>
      <c r="H266" s="116">
        <f t="shared" si="55"/>
        <v>0</v>
      </c>
      <c r="I266" s="116">
        <f t="shared" si="48"/>
        <v>0</v>
      </c>
      <c r="J266" s="119">
        <f t="shared" si="49"/>
        <v>0</v>
      </c>
      <c r="K266" s="119">
        <f t="shared" si="50"/>
        <v>0</v>
      </c>
      <c r="L266" s="110"/>
      <c r="M266" s="110"/>
      <c r="N266" s="110"/>
      <c r="O266" s="110"/>
      <c r="P266" s="110"/>
      <c r="Q266" s="110"/>
      <c r="R266" s="110"/>
    </row>
    <row r="267" spans="1:23" x14ac:dyDescent="0.3">
      <c r="A267" s="109">
        <v>242</v>
      </c>
      <c r="B267" s="58">
        <f t="shared" si="51"/>
        <v>0</v>
      </c>
      <c r="C267" s="116">
        <f t="shared" si="52"/>
        <v>0</v>
      </c>
      <c r="D267" s="117">
        <f t="shared" si="53"/>
        <v>0</v>
      </c>
      <c r="E267" s="297">
        <f t="shared" si="54"/>
        <v>0</v>
      </c>
      <c r="F267" s="116">
        <f t="shared" si="46"/>
        <v>0</v>
      </c>
      <c r="G267" s="117">
        <f t="shared" si="47"/>
        <v>0</v>
      </c>
      <c r="H267" s="116">
        <f t="shared" si="55"/>
        <v>0</v>
      </c>
      <c r="I267" s="116">
        <f t="shared" si="48"/>
        <v>0</v>
      </c>
      <c r="J267" s="119">
        <f t="shared" si="49"/>
        <v>0</v>
      </c>
      <c r="K267" s="119">
        <f t="shared" si="50"/>
        <v>0</v>
      </c>
      <c r="L267" s="110"/>
      <c r="M267" s="110"/>
      <c r="N267" s="110"/>
      <c r="O267" s="110"/>
      <c r="P267" s="110"/>
      <c r="Q267" s="110"/>
      <c r="R267" s="110"/>
    </row>
    <row r="268" spans="1:23" x14ac:dyDescent="0.3">
      <c r="A268" s="109">
        <v>243</v>
      </c>
      <c r="B268" s="58">
        <f t="shared" si="51"/>
        <v>0</v>
      </c>
      <c r="C268" s="116">
        <f t="shared" si="52"/>
        <v>0</v>
      </c>
      <c r="D268" s="117">
        <f t="shared" si="53"/>
        <v>0</v>
      </c>
      <c r="E268" s="297">
        <f t="shared" si="54"/>
        <v>0</v>
      </c>
      <c r="F268" s="116">
        <f t="shared" si="46"/>
        <v>0</v>
      </c>
      <c r="G268" s="117">
        <f t="shared" si="47"/>
        <v>0</v>
      </c>
      <c r="H268" s="116">
        <f t="shared" si="55"/>
        <v>0</v>
      </c>
      <c r="I268" s="116">
        <f t="shared" si="48"/>
        <v>0</v>
      </c>
      <c r="J268" s="119">
        <f t="shared" si="49"/>
        <v>0</v>
      </c>
      <c r="K268" s="119">
        <f t="shared" si="50"/>
        <v>0</v>
      </c>
      <c r="L268" s="110"/>
      <c r="M268" s="110"/>
      <c r="N268" s="110"/>
      <c r="O268" s="110"/>
      <c r="P268" s="110"/>
      <c r="Q268" s="110"/>
      <c r="R268" s="110"/>
    </row>
    <row r="269" spans="1:23" x14ac:dyDescent="0.3">
      <c r="A269" s="109">
        <v>244</v>
      </c>
      <c r="B269" s="58">
        <f t="shared" si="51"/>
        <v>0</v>
      </c>
      <c r="C269" s="116">
        <f t="shared" si="52"/>
        <v>0</v>
      </c>
      <c r="D269" s="117">
        <f t="shared" si="53"/>
        <v>0</v>
      </c>
      <c r="E269" s="297">
        <f t="shared" si="54"/>
        <v>0</v>
      </c>
      <c r="F269" s="116">
        <f t="shared" si="46"/>
        <v>0</v>
      </c>
      <c r="G269" s="117">
        <f t="shared" si="47"/>
        <v>0</v>
      </c>
      <c r="H269" s="116">
        <f t="shared" si="55"/>
        <v>0</v>
      </c>
      <c r="I269" s="116">
        <f t="shared" si="48"/>
        <v>0</v>
      </c>
      <c r="J269" s="119">
        <f t="shared" si="49"/>
        <v>0</v>
      </c>
      <c r="K269" s="119">
        <f t="shared" si="50"/>
        <v>0</v>
      </c>
      <c r="L269" s="110"/>
      <c r="M269" s="110"/>
      <c r="N269" s="110"/>
      <c r="O269" s="110"/>
      <c r="P269" s="110"/>
      <c r="Q269" s="110"/>
      <c r="R269" s="110"/>
    </row>
    <row r="270" spans="1:23" x14ac:dyDescent="0.3">
      <c r="A270" s="109">
        <v>245</v>
      </c>
      <c r="B270" s="58">
        <f t="shared" si="51"/>
        <v>0</v>
      </c>
      <c r="C270" s="116">
        <f t="shared" si="52"/>
        <v>0</v>
      </c>
      <c r="D270" s="117">
        <f t="shared" si="53"/>
        <v>0</v>
      </c>
      <c r="E270" s="297">
        <f t="shared" si="54"/>
        <v>0</v>
      </c>
      <c r="F270" s="116">
        <f t="shared" si="46"/>
        <v>0</v>
      </c>
      <c r="G270" s="117">
        <f t="shared" si="47"/>
        <v>0</v>
      </c>
      <c r="H270" s="116">
        <f t="shared" si="55"/>
        <v>0</v>
      </c>
      <c r="I270" s="116">
        <f t="shared" si="48"/>
        <v>0</v>
      </c>
      <c r="J270" s="119">
        <f t="shared" si="49"/>
        <v>0</v>
      </c>
      <c r="K270" s="119">
        <f t="shared" si="50"/>
        <v>0</v>
      </c>
      <c r="L270" s="110"/>
      <c r="M270" s="110"/>
      <c r="N270" s="110"/>
      <c r="O270" s="110"/>
      <c r="P270" s="110"/>
      <c r="Q270" s="110"/>
      <c r="R270" s="110"/>
    </row>
    <row r="271" spans="1:23" x14ac:dyDescent="0.3">
      <c r="A271" s="109">
        <v>246</v>
      </c>
      <c r="B271" s="58">
        <f t="shared" si="51"/>
        <v>0</v>
      </c>
      <c r="C271" s="116">
        <f t="shared" si="52"/>
        <v>0</v>
      </c>
      <c r="D271" s="117">
        <f t="shared" si="53"/>
        <v>0</v>
      </c>
      <c r="E271" s="297">
        <f t="shared" si="54"/>
        <v>0</v>
      </c>
      <c r="F271" s="116">
        <f t="shared" si="46"/>
        <v>0</v>
      </c>
      <c r="G271" s="117">
        <f t="shared" si="47"/>
        <v>0</v>
      </c>
      <c r="H271" s="116">
        <f t="shared" si="55"/>
        <v>0</v>
      </c>
      <c r="I271" s="116">
        <f t="shared" si="48"/>
        <v>0</v>
      </c>
      <c r="J271" s="119">
        <f t="shared" si="49"/>
        <v>0</v>
      </c>
      <c r="K271" s="119">
        <f t="shared" si="50"/>
        <v>0</v>
      </c>
      <c r="L271" s="110"/>
      <c r="M271" s="110"/>
      <c r="N271" s="110"/>
      <c r="O271" s="110"/>
      <c r="P271" s="110"/>
      <c r="Q271" s="110"/>
      <c r="R271" s="110"/>
    </row>
    <row r="272" spans="1:23" x14ac:dyDescent="0.3">
      <c r="A272" s="109">
        <v>247</v>
      </c>
      <c r="B272" s="58">
        <f t="shared" si="51"/>
        <v>0</v>
      </c>
      <c r="C272" s="116">
        <f t="shared" si="52"/>
        <v>0</v>
      </c>
      <c r="D272" s="117">
        <f t="shared" si="53"/>
        <v>0</v>
      </c>
      <c r="E272" s="297">
        <f t="shared" si="54"/>
        <v>0</v>
      </c>
      <c r="F272" s="116">
        <f t="shared" si="46"/>
        <v>0</v>
      </c>
      <c r="G272" s="117">
        <f t="shared" si="47"/>
        <v>0</v>
      </c>
      <c r="H272" s="116">
        <f t="shared" si="55"/>
        <v>0</v>
      </c>
      <c r="I272" s="116">
        <f t="shared" si="48"/>
        <v>0</v>
      </c>
      <c r="J272" s="119">
        <f t="shared" si="49"/>
        <v>0</v>
      </c>
      <c r="K272" s="119">
        <f t="shared" si="50"/>
        <v>0</v>
      </c>
      <c r="L272" s="110"/>
      <c r="M272" s="110"/>
      <c r="N272" s="110"/>
      <c r="O272" s="110"/>
      <c r="P272" s="110"/>
      <c r="Q272" s="110"/>
      <c r="R272" s="110"/>
    </row>
    <row r="273" spans="1:23" x14ac:dyDescent="0.3">
      <c r="A273" s="109">
        <v>248</v>
      </c>
      <c r="B273" s="58">
        <f t="shared" si="51"/>
        <v>0</v>
      </c>
      <c r="C273" s="116">
        <f t="shared" si="52"/>
        <v>0</v>
      </c>
      <c r="D273" s="117">
        <f t="shared" si="53"/>
        <v>0</v>
      </c>
      <c r="E273" s="297">
        <f t="shared" si="54"/>
        <v>0</v>
      </c>
      <c r="F273" s="116">
        <f t="shared" si="46"/>
        <v>0</v>
      </c>
      <c r="G273" s="117">
        <f t="shared" si="47"/>
        <v>0</v>
      </c>
      <c r="H273" s="116">
        <f t="shared" si="55"/>
        <v>0</v>
      </c>
      <c r="I273" s="116">
        <f t="shared" si="48"/>
        <v>0</v>
      </c>
      <c r="J273" s="119">
        <f t="shared" si="49"/>
        <v>0</v>
      </c>
      <c r="K273" s="119">
        <f t="shared" si="50"/>
        <v>0</v>
      </c>
      <c r="L273" s="110"/>
      <c r="M273" s="110"/>
      <c r="N273" s="110"/>
      <c r="O273" s="110"/>
      <c r="P273" s="110"/>
      <c r="Q273" s="110"/>
      <c r="R273" s="110"/>
    </row>
    <row r="274" spans="1:23" x14ac:dyDescent="0.3">
      <c r="A274" s="109">
        <v>249</v>
      </c>
      <c r="B274" s="58">
        <f t="shared" si="51"/>
        <v>0</v>
      </c>
      <c r="C274" s="116">
        <f t="shared" si="52"/>
        <v>0</v>
      </c>
      <c r="D274" s="117">
        <f t="shared" si="53"/>
        <v>0</v>
      </c>
      <c r="E274" s="297">
        <f t="shared" si="54"/>
        <v>0</v>
      </c>
      <c r="F274" s="116">
        <f t="shared" si="46"/>
        <v>0</v>
      </c>
      <c r="G274" s="117">
        <f t="shared" si="47"/>
        <v>0</v>
      </c>
      <c r="H274" s="116">
        <f t="shared" si="55"/>
        <v>0</v>
      </c>
      <c r="I274" s="116">
        <f t="shared" si="48"/>
        <v>0</v>
      </c>
      <c r="J274" s="119">
        <f t="shared" si="49"/>
        <v>0</v>
      </c>
      <c r="K274" s="119">
        <f t="shared" si="50"/>
        <v>0</v>
      </c>
      <c r="L274" s="110"/>
      <c r="M274" s="110"/>
      <c r="N274" s="110"/>
      <c r="O274" s="110"/>
      <c r="P274" s="110"/>
      <c r="Q274" s="110"/>
      <c r="R274" s="110"/>
    </row>
    <row r="275" spans="1:23" x14ac:dyDescent="0.3">
      <c r="A275" s="109">
        <v>250</v>
      </c>
      <c r="B275" s="58">
        <f t="shared" si="51"/>
        <v>0</v>
      </c>
      <c r="C275" s="116">
        <f t="shared" si="52"/>
        <v>0</v>
      </c>
      <c r="D275" s="117">
        <f t="shared" si="53"/>
        <v>0</v>
      </c>
      <c r="E275" s="297">
        <f t="shared" si="54"/>
        <v>0</v>
      </c>
      <c r="F275" s="116">
        <f t="shared" si="46"/>
        <v>0</v>
      </c>
      <c r="G275" s="117">
        <f t="shared" si="47"/>
        <v>0</v>
      </c>
      <c r="H275" s="116">
        <f t="shared" si="55"/>
        <v>0</v>
      </c>
      <c r="I275" s="116">
        <f t="shared" si="48"/>
        <v>0</v>
      </c>
      <c r="J275" s="119">
        <f t="shared" si="49"/>
        <v>0</v>
      </c>
      <c r="K275" s="119">
        <f t="shared" si="50"/>
        <v>0</v>
      </c>
      <c r="L275" s="110"/>
      <c r="M275" s="110"/>
      <c r="N275" s="110"/>
      <c r="O275" s="110"/>
      <c r="P275" s="110"/>
      <c r="Q275" s="110"/>
      <c r="R275" s="110"/>
    </row>
    <row r="276" spans="1:23" x14ac:dyDescent="0.3">
      <c r="A276" s="109">
        <v>251</v>
      </c>
      <c r="B276" s="58">
        <f t="shared" si="51"/>
        <v>0</v>
      </c>
      <c r="C276" s="116">
        <f t="shared" si="52"/>
        <v>0</v>
      </c>
      <c r="D276" s="117">
        <f t="shared" si="53"/>
        <v>0</v>
      </c>
      <c r="E276" s="297">
        <f t="shared" si="54"/>
        <v>0</v>
      </c>
      <c r="F276" s="116">
        <f t="shared" si="46"/>
        <v>0</v>
      </c>
      <c r="G276" s="117">
        <f t="shared" si="47"/>
        <v>0</v>
      </c>
      <c r="H276" s="116">
        <f t="shared" si="55"/>
        <v>0</v>
      </c>
      <c r="I276" s="116">
        <f t="shared" si="48"/>
        <v>0</v>
      </c>
      <c r="J276" s="119">
        <f t="shared" si="49"/>
        <v>0</v>
      </c>
      <c r="K276" s="119">
        <f t="shared" si="50"/>
        <v>0</v>
      </c>
      <c r="L276" s="110"/>
      <c r="M276" s="110"/>
      <c r="N276" s="110"/>
      <c r="O276" s="110"/>
      <c r="P276" s="110"/>
      <c r="Q276" s="110"/>
      <c r="R276" s="110"/>
    </row>
    <row r="277" spans="1:23" x14ac:dyDescent="0.3">
      <c r="A277" s="109">
        <v>252</v>
      </c>
      <c r="B277" s="58">
        <f t="shared" si="51"/>
        <v>0</v>
      </c>
      <c r="C277" s="116">
        <f t="shared" si="52"/>
        <v>0</v>
      </c>
      <c r="D277" s="117">
        <f t="shared" si="53"/>
        <v>0</v>
      </c>
      <c r="E277" s="297">
        <f t="shared" si="54"/>
        <v>0</v>
      </c>
      <c r="F277" s="116">
        <f t="shared" si="46"/>
        <v>0</v>
      </c>
      <c r="G277" s="117">
        <f t="shared" si="47"/>
        <v>0</v>
      </c>
      <c r="H277" s="116">
        <f t="shared" si="55"/>
        <v>0</v>
      </c>
      <c r="I277" s="116">
        <f t="shared" si="48"/>
        <v>0</v>
      </c>
      <c r="J277" s="119">
        <f t="shared" si="49"/>
        <v>0</v>
      </c>
      <c r="K277" s="119">
        <f t="shared" si="50"/>
        <v>0</v>
      </c>
      <c r="L277" s="58">
        <f t="shared" ref="L277:Q277" si="60">SUM(C266:C277)</f>
        <v>0</v>
      </c>
      <c r="M277" s="58">
        <f t="shared" si="60"/>
        <v>0</v>
      </c>
      <c r="N277" s="58">
        <f t="shared" si="60"/>
        <v>0</v>
      </c>
      <c r="O277" s="58">
        <f t="shared" si="60"/>
        <v>0</v>
      </c>
      <c r="P277" s="58">
        <f t="shared" si="60"/>
        <v>0</v>
      </c>
      <c r="Q277" s="58">
        <f t="shared" si="60"/>
        <v>0</v>
      </c>
      <c r="R277" s="58">
        <f>SUM(J266:J277)</f>
        <v>0</v>
      </c>
      <c r="S277" s="29">
        <f>SUM(K266:K277)</f>
        <v>0</v>
      </c>
      <c r="T277" s="29"/>
      <c r="U277" s="29"/>
      <c r="V277" s="29"/>
      <c r="W277" s="29"/>
    </row>
    <row r="278" spans="1:23" x14ac:dyDescent="0.3">
      <c r="A278" s="109">
        <v>253</v>
      </c>
      <c r="B278" s="58">
        <f t="shared" si="51"/>
        <v>0</v>
      </c>
      <c r="C278" s="116">
        <f t="shared" si="52"/>
        <v>0</v>
      </c>
      <c r="D278" s="117">
        <f t="shared" si="53"/>
        <v>0</v>
      </c>
      <c r="E278" s="297">
        <f t="shared" si="54"/>
        <v>0</v>
      </c>
      <c r="F278" s="116">
        <f t="shared" si="46"/>
        <v>0</v>
      </c>
      <c r="G278" s="117">
        <f t="shared" si="47"/>
        <v>0</v>
      </c>
      <c r="H278" s="116">
        <f t="shared" si="55"/>
        <v>0</v>
      </c>
      <c r="I278" s="116">
        <f t="shared" si="48"/>
        <v>0</v>
      </c>
      <c r="J278" s="119">
        <f t="shared" si="49"/>
        <v>0</v>
      </c>
      <c r="K278" s="119">
        <f t="shared" si="50"/>
        <v>0</v>
      </c>
      <c r="L278" s="110"/>
      <c r="M278" s="110"/>
      <c r="N278" s="110"/>
      <c r="O278" s="110"/>
      <c r="P278" s="110"/>
      <c r="Q278" s="110"/>
      <c r="R278" s="110"/>
    </row>
    <row r="279" spans="1:23" x14ac:dyDescent="0.3">
      <c r="A279" s="109">
        <v>254</v>
      </c>
      <c r="B279" s="58">
        <f t="shared" si="51"/>
        <v>0</v>
      </c>
      <c r="C279" s="116">
        <f t="shared" si="52"/>
        <v>0</v>
      </c>
      <c r="D279" s="117">
        <f t="shared" si="53"/>
        <v>0</v>
      </c>
      <c r="E279" s="297">
        <f t="shared" si="54"/>
        <v>0</v>
      </c>
      <c r="F279" s="116">
        <f t="shared" si="46"/>
        <v>0</v>
      </c>
      <c r="G279" s="117">
        <f t="shared" si="47"/>
        <v>0</v>
      </c>
      <c r="H279" s="116">
        <f t="shared" si="55"/>
        <v>0</v>
      </c>
      <c r="I279" s="116">
        <f t="shared" si="48"/>
        <v>0</v>
      </c>
      <c r="J279" s="119">
        <f t="shared" si="49"/>
        <v>0</v>
      </c>
      <c r="K279" s="119">
        <f t="shared" si="50"/>
        <v>0</v>
      </c>
      <c r="L279" s="110"/>
      <c r="M279" s="110"/>
      <c r="N279" s="110"/>
      <c r="O279" s="110"/>
      <c r="P279" s="110"/>
      <c r="Q279" s="110"/>
      <c r="R279" s="110"/>
    </row>
    <row r="280" spans="1:23" x14ac:dyDescent="0.3">
      <c r="A280" s="109">
        <v>255</v>
      </c>
      <c r="B280" s="58">
        <f t="shared" si="51"/>
        <v>0</v>
      </c>
      <c r="C280" s="116">
        <f t="shared" si="52"/>
        <v>0</v>
      </c>
      <c r="D280" s="117">
        <f t="shared" si="53"/>
        <v>0</v>
      </c>
      <c r="E280" s="297">
        <f t="shared" si="54"/>
        <v>0</v>
      </c>
      <c r="F280" s="116">
        <f t="shared" si="46"/>
        <v>0</v>
      </c>
      <c r="G280" s="117">
        <f t="shared" si="47"/>
        <v>0</v>
      </c>
      <c r="H280" s="116">
        <f t="shared" si="55"/>
        <v>0</v>
      </c>
      <c r="I280" s="116">
        <f t="shared" si="48"/>
        <v>0</v>
      </c>
      <c r="J280" s="119">
        <f t="shared" si="49"/>
        <v>0</v>
      </c>
      <c r="K280" s="119">
        <f t="shared" si="50"/>
        <v>0</v>
      </c>
      <c r="L280" s="110"/>
      <c r="M280" s="110"/>
      <c r="N280" s="110"/>
      <c r="O280" s="110"/>
      <c r="P280" s="110"/>
      <c r="Q280" s="110"/>
      <c r="R280" s="110"/>
    </row>
    <row r="281" spans="1:23" x14ac:dyDescent="0.3">
      <c r="A281" s="109">
        <v>256</v>
      </c>
      <c r="B281" s="58">
        <f t="shared" si="51"/>
        <v>0</v>
      </c>
      <c r="C281" s="116">
        <f t="shared" si="52"/>
        <v>0</v>
      </c>
      <c r="D281" s="117">
        <f t="shared" si="53"/>
        <v>0</v>
      </c>
      <c r="E281" s="297">
        <f t="shared" si="54"/>
        <v>0</v>
      </c>
      <c r="F281" s="116">
        <f t="shared" si="46"/>
        <v>0</v>
      </c>
      <c r="G281" s="117">
        <f t="shared" si="47"/>
        <v>0</v>
      </c>
      <c r="H281" s="116">
        <f t="shared" si="55"/>
        <v>0</v>
      </c>
      <c r="I281" s="116">
        <f t="shared" si="48"/>
        <v>0</v>
      </c>
      <c r="J281" s="119">
        <f t="shared" si="49"/>
        <v>0</v>
      </c>
      <c r="K281" s="119">
        <f t="shared" si="50"/>
        <v>0</v>
      </c>
      <c r="L281" s="110"/>
      <c r="M281" s="110"/>
      <c r="N281" s="110"/>
      <c r="O281" s="110"/>
      <c r="P281" s="110"/>
      <c r="Q281" s="110"/>
      <c r="R281" s="110"/>
    </row>
    <row r="282" spans="1:23" x14ac:dyDescent="0.3">
      <c r="A282" s="109">
        <v>257</v>
      </c>
      <c r="B282" s="58">
        <f t="shared" si="51"/>
        <v>0</v>
      </c>
      <c r="C282" s="116">
        <f t="shared" si="52"/>
        <v>0</v>
      </c>
      <c r="D282" s="117">
        <f t="shared" si="53"/>
        <v>0</v>
      </c>
      <c r="E282" s="297">
        <f t="shared" si="54"/>
        <v>0</v>
      </c>
      <c r="F282" s="116">
        <f t="shared" ref="F282:F325" si="61">ROUND(IF(A282&gt;$G$6,(IF(A282&gt;=$C$3,B281+D282,PMT($C$4/12,$C$3-$G$6,-$B$25))),D282),0)</f>
        <v>0</v>
      </c>
      <c r="G282" s="117">
        <f t="shared" ref="G282:G325" si="62">ROUND(IF(A282&gt;$G$6,0,$B$25*$C$14/360*30),0)</f>
        <v>0</v>
      </c>
      <c r="H282" s="116">
        <f t="shared" si="55"/>
        <v>0</v>
      </c>
      <c r="I282" s="116">
        <f t="shared" ref="I282:I325" si="63">IF(A282&lt;=$C$3,H282+$C$17,0)</f>
        <v>0</v>
      </c>
      <c r="J282" s="119">
        <f t="shared" ref="J282:J325" si="64">ROUND(IF(A282&gt;$G$6,(IF(A282&gt;=$C$3,B281+D282,PMT($L$12/12,$C$3-$G$6,-$B$25))),D282),0)</f>
        <v>0</v>
      </c>
      <c r="K282" s="119">
        <f t="shared" ref="K282:K325" si="65">ROUND(IF(A282&gt;$G$6,(IF(A282&gt;=$C$3,B281+D282,PMT($L$13/12,$C$3-$G$6,-$B$25))),D282),0)</f>
        <v>0</v>
      </c>
      <c r="L282" s="110"/>
      <c r="M282" s="110"/>
      <c r="N282" s="110"/>
      <c r="O282" s="110"/>
      <c r="P282" s="110"/>
      <c r="Q282" s="110"/>
      <c r="R282" s="110"/>
    </row>
    <row r="283" spans="1:23" x14ac:dyDescent="0.3">
      <c r="A283" s="109">
        <v>258</v>
      </c>
      <c r="B283" s="58">
        <f t="shared" ref="B283:B325" si="66">B282-C283</f>
        <v>0</v>
      </c>
      <c r="C283" s="116">
        <f t="shared" ref="C283:C326" si="67">+F283-D283</f>
        <v>0</v>
      </c>
      <c r="D283" s="117">
        <f t="shared" ref="D283:D325" si="68">ROUND(IF(A283&gt;$G$6,B282*$C$4*30/360,0),0)</f>
        <v>0</v>
      </c>
      <c r="E283" s="297">
        <f t="shared" ref="E283:E325" si="69">ROUND(IF(A283&gt;$C$3,0,$B$25*($C$5/12)),0)</f>
        <v>0</v>
      </c>
      <c r="F283" s="116">
        <f t="shared" si="61"/>
        <v>0</v>
      </c>
      <c r="G283" s="117">
        <f t="shared" si="62"/>
        <v>0</v>
      </c>
      <c r="H283" s="116">
        <f t="shared" si="55"/>
        <v>0</v>
      </c>
      <c r="I283" s="116">
        <f t="shared" si="63"/>
        <v>0</v>
      </c>
      <c r="J283" s="119">
        <f t="shared" si="64"/>
        <v>0</v>
      </c>
      <c r="K283" s="119">
        <f t="shared" si="65"/>
        <v>0</v>
      </c>
      <c r="L283" s="110"/>
      <c r="M283" s="110"/>
      <c r="N283" s="110"/>
      <c r="O283" s="110"/>
      <c r="P283" s="110"/>
      <c r="Q283" s="110"/>
      <c r="R283" s="110"/>
    </row>
    <row r="284" spans="1:23" x14ac:dyDescent="0.3">
      <c r="A284" s="109">
        <v>259</v>
      </c>
      <c r="B284" s="58">
        <f t="shared" si="66"/>
        <v>0</v>
      </c>
      <c r="C284" s="116">
        <f t="shared" si="67"/>
        <v>0</v>
      </c>
      <c r="D284" s="117">
        <f t="shared" si="68"/>
        <v>0</v>
      </c>
      <c r="E284" s="297">
        <f t="shared" si="69"/>
        <v>0</v>
      </c>
      <c r="F284" s="116">
        <f t="shared" si="61"/>
        <v>0</v>
      </c>
      <c r="G284" s="117">
        <f t="shared" si="62"/>
        <v>0</v>
      </c>
      <c r="H284" s="116">
        <f t="shared" ref="H284:H325" si="70">F284+G284</f>
        <v>0</v>
      </c>
      <c r="I284" s="116">
        <f t="shared" si="63"/>
        <v>0</v>
      </c>
      <c r="J284" s="119">
        <f t="shared" si="64"/>
        <v>0</v>
      </c>
      <c r="K284" s="119">
        <f t="shared" si="65"/>
        <v>0</v>
      </c>
      <c r="L284" s="110"/>
      <c r="M284" s="110"/>
      <c r="N284" s="110"/>
      <c r="O284" s="110"/>
      <c r="P284" s="110"/>
      <c r="Q284" s="110"/>
      <c r="R284" s="110"/>
    </row>
    <row r="285" spans="1:23" x14ac:dyDescent="0.3">
      <c r="A285" s="109">
        <v>260</v>
      </c>
      <c r="B285" s="58">
        <f t="shared" si="66"/>
        <v>0</v>
      </c>
      <c r="C285" s="116">
        <f t="shared" si="67"/>
        <v>0</v>
      </c>
      <c r="D285" s="117">
        <f t="shared" si="68"/>
        <v>0</v>
      </c>
      <c r="E285" s="297">
        <f t="shared" si="69"/>
        <v>0</v>
      </c>
      <c r="F285" s="116">
        <f t="shared" si="61"/>
        <v>0</v>
      </c>
      <c r="G285" s="117">
        <f t="shared" si="62"/>
        <v>0</v>
      </c>
      <c r="H285" s="116">
        <f t="shared" si="70"/>
        <v>0</v>
      </c>
      <c r="I285" s="116">
        <f t="shared" si="63"/>
        <v>0</v>
      </c>
      <c r="J285" s="119">
        <f t="shared" si="64"/>
        <v>0</v>
      </c>
      <c r="K285" s="119">
        <f t="shared" si="65"/>
        <v>0</v>
      </c>
      <c r="L285" s="110"/>
      <c r="M285" s="110"/>
      <c r="N285" s="110"/>
      <c r="O285" s="110"/>
      <c r="P285" s="110"/>
      <c r="Q285" s="110"/>
      <c r="R285" s="110"/>
    </row>
    <row r="286" spans="1:23" x14ac:dyDescent="0.3">
      <c r="A286" s="109">
        <v>261</v>
      </c>
      <c r="B286" s="58">
        <f t="shared" si="66"/>
        <v>0</v>
      </c>
      <c r="C286" s="116">
        <f t="shared" si="67"/>
        <v>0</v>
      </c>
      <c r="D286" s="117">
        <f t="shared" si="68"/>
        <v>0</v>
      </c>
      <c r="E286" s="297">
        <f t="shared" si="69"/>
        <v>0</v>
      </c>
      <c r="F286" s="116">
        <f t="shared" si="61"/>
        <v>0</v>
      </c>
      <c r="G286" s="117">
        <f t="shared" si="62"/>
        <v>0</v>
      </c>
      <c r="H286" s="116">
        <f t="shared" si="70"/>
        <v>0</v>
      </c>
      <c r="I286" s="116">
        <f t="shared" si="63"/>
        <v>0</v>
      </c>
      <c r="J286" s="119">
        <f t="shared" si="64"/>
        <v>0</v>
      </c>
      <c r="K286" s="119">
        <f t="shared" si="65"/>
        <v>0</v>
      </c>
      <c r="L286" s="110"/>
      <c r="M286" s="110"/>
      <c r="N286" s="110"/>
      <c r="O286" s="110"/>
      <c r="P286" s="110"/>
      <c r="Q286" s="110"/>
      <c r="R286" s="110"/>
    </row>
    <row r="287" spans="1:23" x14ac:dyDescent="0.3">
      <c r="A287" s="109">
        <v>262</v>
      </c>
      <c r="B287" s="58">
        <f t="shared" si="66"/>
        <v>0</v>
      </c>
      <c r="C287" s="116">
        <f t="shared" si="67"/>
        <v>0</v>
      </c>
      <c r="D287" s="117">
        <f t="shared" si="68"/>
        <v>0</v>
      </c>
      <c r="E287" s="297">
        <f t="shared" si="69"/>
        <v>0</v>
      </c>
      <c r="F287" s="116">
        <f t="shared" si="61"/>
        <v>0</v>
      </c>
      <c r="G287" s="117">
        <f t="shared" si="62"/>
        <v>0</v>
      </c>
      <c r="H287" s="116">
        <f t="shared" si="70"/>
        <v>0</v>
      </c>
      <c r="I287" s="116">
        <f t="shared" si="63"/>
        <v>0</v>
      </c>
      <c r="J287" s="119">
        <f t="shared" si="64"/>
        <v>0</v>
      </c>
      <c r="K287" s="119">
        <f t="shared" si="65"/>
        <v>0</v>
      </c>
      <c r="L287" s="110"/>
      <c r="M287" s="110"/>
      <c r="N287" s="110"/>
      <c r="O287" s="110"/>
      <c r="P287" s="110"/>
      <c r="Q287" s="110"/>
      <c r="R287" s="110"/>
    </row>
    <row r="288" spans="1:23" x14ac:dyDescent="0.3">
      <c r="A288" s="109">
        <v>263</v>
      </c>
      <c r="B288" s="58">
        <f t="shared" si="66"/>
        <v>0</v>
      </c>
      <c r="C288" s="116">
        <f t="shared" si="67"/>
        <v>0</v>
      </c>
      <c r="D288" s="117">
        <f t="shared" si="68"/>
        <v>0</v>
      </c>
      <c r="E288" s="297">
        <f t="shared" si="69"/>
        <v>0</v>
      </c>
      <c r="F288" s="116">
        <f t="shared" si="61"/>
        <v>0</v>
      </c>
      <c r="G288" s="117">
        <f t="shared" si="62"/>
        <v>0</v>
      </c>
      <c r="H288" s="116">
        <f t="shared" si="70"/>
        <v>0</v>
      </c>
      <c r="I288" s="116">
        <f t="shared" si="63"/>
        <v>0</v>
      </c>
      <c r="J288" s="119">
        <f t="shared" si="64"/>
        <v>0</v>
      </c>
      <c r="K288" s="119">
        <f t="shared" si="65"/>
        <v>0</v>
      </c>
      <c r="L288" s="110"/>
      <c r="M288" s="110"/>
      <c r="N288" s="110"/>
      <c r="O288" s="110"/>
      <c r="P288" s="110"/>
      <c r="Q288" s="110"/>
      <c r="R288" s="110"/>
    </row>
    <row r="289" spans="1:23" x14ac:dyDescent="0.3">
      <c r="A289" s="109">
        <v>264</v>
      </c>
      <c r="B289" s="58">
        <f t="shared" si="66"/>
        <v>0</v>
      </c>
      <c r="C289" s="116">
        <f t="shared" si="67"/>
        <v>0</v>
      </c>
      <c r="D289" s="117">
        <f t="shared" si="68"/>
        <v>0</v>
      </c>
      <c r="E289" s="297">
        <f t="shared" si="69"/>
        <v>0</v>
      </c>
      <c r="F289" s="116">
        <f t="shared" si="61"/>
        <v>0</v>
      </c>
      <c r="G289" s="117">
        <f t="shared" si="62"/>
        <v>0</v>
      </c>
      <c r="H289" s="116">
        <f t="shared" si="70"/>
        <v>0</v>
      </c>
      <c r="I289" s="116">
        <f t="shared" si="63"/>
        <v>0</v>
      </c>
      <c r="J289" s="119">
        <f t="shared" si="64"/>
        <v>0</v>
      </c>
      <c r="K289" s="119">
        <f t="shared" si="65"/>
        <v>0</v>
      </c>
      <c r="L289" s="58">
        <f t="shared" ref="L289:Q289" si="71">SUM(C278:C289)</f>
        <v>0</v>
      </c>
      <c r="M289" s="58">
        <f t="shared" si="71"/>
        <v>0</v>
      </c>
      <c r="N289" s="58">
        <f t="shared" si="71"/>
        <v>0</v>
      </c>
      <c r="O289" s="58">
        <f t="shared" si="71"/>
        <v>0</v>
      </c>
      <c r="P289" s="58">
        <f t="shared" si="71"/>
        <v>0</v>
      </c>
      <c r="Q289" s="58">
        <f t="shared" si="71"/>
        <v>0</v>
      </c>
      <c r="R289" s="58">
        <f>SUM(J278:J289)</f>
        <v>0</v>
      </c>
      <c r="S289" s="29">
        <f>SUM(K278:K289)</f>
        <v>0</v>
      </c>
      <c r="T289" s="29"/>
      <c r="U289" s="29"/>
      <c r="V289" s="29"/>
      <c r="W289" s="29"/>
    </row>
    <row r="290" spans="1:23" x14ac:dyDescent="0.3">
      <c r="A290" s="109">
        <v>265</v>
      </c>
      <c r="B290" s="58">
        <f t="shared" si="66"/>
        <v>0</v>
      </c>
      <c r="C290" s="116">
        <f t="shared" si="67"/>
        <v>0</v>
      </c>
      <c r="D290" s="117">
        <f t="shared" si="68"/>
        <v>0</v>
      </c>
      <c r="E290" s="297">
        <f t="shared" si="69"/>
        <v>0</v>
      </c>
      <c r="F290" s="116">
        <f t="shared" si="61"/>
        <v>0</v>
      </c>
      <c r="G290" s="117">
        <f t="shared" si="62"/>
        <v>0</v>
      </c>
      <c r="H290" s="116">
        <f t="shared" si="70"/>
        <v>0</v>
      </c>
      <c r="I290" s="116">
        <f t="shared" si="63"/>
        <v>0</v>
      </c>
      <c r="J290" s="119">
        <f t="shared" si="64"/>
        <v>0</v>
      </c>
      <c r="K290" s="119">
        <f t="shared" si="65"/>
        <v>0</v>
      </c>
      <c r="L290" s="110"/>
      <c r="M290" s="110"/>
      <c r="N290" s="110"/>
      <c r="O290" s="110"/>
      <c r="P290" s="110"/>
      <c r="Q290" s="110"/>
      <c r="R290" s="110"/>
    </row>
    <row r="291" spans="1:23" x14ac:dyDescent="0.3">
      <c r="A291" s="109">
        <v>266</v>
      </c>
      <c r="B291" s="58">
        <f t="shared" si="66"/>
        <v>0</v>
      </c>
      <c r="C291" s="116">
        <f t="shared" si="67"/>
        <v>0</v>
      </c>
      <c r="D291" s="117">
        <f t="shared" si="68"/>
        <v>0</v>
      </c>
      <c r="E291" s="297">
        <f t="shared" si="69"/>
        <v>0</v>
      </c>
      <c r="F291" s="116">
        <f t="shared" si="61"/>
        <v>0</v>
      </c>
      <c r="G291" s="117">
        <f t="shared" si="62"/>
        <v>0</v>
      </c>
      <c r="H291" s="116">
        <f t="shared" si="70"/>
        <v>0</v>
      </c>
      <c r="I291" s="116">
        <f t="shared" si="63"/>
        <v>0</v>
      </c>
      <c r="J291" s="119">
        <f t="shared" si="64"/>
        <v>0</v>
      </c>
      <c r="K291" s="119">
        <f t="shared" si="65"/>
        <v>0</v>
      </c>
      <c r="L291" s="110"/>
      <c r="M291" s="110"/>
      <c r="N291" s="110"/>
      <c r="O291" s="110"/>
      <c r="P291" s="110"/>
      <c r="Q291" s="110"/>
      <c r="R291" s="110"/>
    </row>
    <row r="292" spans="1:23" x14ac:dyDescent="0.3">
      <c r="A292" s="109">
        <v>267</v>
      </c>
      <c r="B292" s="58">
        <f t="shared" si="66"/>
        <v>0</v>
      </c>
      <c r="C292" s="116">
        <f t="shared" si="67"/>
        <v>0</v>
      </c>
      <c r="D292" s="117">
        <f t="shared" si="68"/>
        <v>0</v>
      </c>
      <c r="E292" s="297">
        <f t="shared" si="69"/>
        <v>0</v>
      </c>
      <c r="F292" s="116">
        <f t="shared" si="61"/>
        <v>0</v>
      </c>
      <c r="G292" s="117">
        <f t="shared" si="62"/>
        <v>0</v>
      </c>
      <c r="H292" s="116">
        <f t="shared" si="70"/>
        <v>0</v>
      </c>
      <c r="I292" s="116">
        <f t="shared" si="63"/>
        <v>0</v>
      </c>
      <c r="J292" s="119">
        <f t="shared" si="64"/>
        <v>0</v>
      </c>
      <c r="K292" s="119">
        <f t="shared" si="65"/>
        <v>0</v>
      </c>
      <c r="L292" s="110"/>
      <c r="M292" s="110"/>
      <c r="N292" s="110"/>
      <c r="O292" s="110"/>
      <c r="P292" s="110"/>
      <c r="Q292" s="110"/>
      <c r="R292" s="110"/>
    </row>
    <row r="293" spans="1:23" x14ac:dyDescent="0.3">
      <c r="A293" s="109">
        <v>268</v>
      </c>
      <c r="B293" s="58">
        <f t="shared" si="66"/>
        <v>0</v>
      </c>
      <c r="C293" s="116">
        <f t="shared" si="67"/>
        <v>0</v>
      </c>
      <c r="D293" s="117">
        <f t="shared" si="68"/>
        <v>0</v>
      </c>
      <c r="E293" s="297">
        <f t="shared" si="69"/>
        <v>0</v>
      </c>
      <c r="F293" s="116">
        <f t="shared" si="61"/>
        <v>0</v>
      </c>
      <c r="G293" s="117">
        <f t="shared" si="62"/>
        <v>0</v>
      </c>
      <c r="H293" s="116">
        <f t="shared" si="70"/>
        <v>0</v>
      </c>
      <c r="I293" s="116">
        <f t="shared" si="63"/>
        <v>0</v>
      </c>
      <c r="J293" s="119">
        <f t="shared" si="64"/>
        <v>0</v>
      </c>
      <c r="K293" s="119">
        <f t="shared" si="65"/>
        <v>0</v>
      </c>
      <c r="L293" s="110"/>
      <c r="M293" s="110"/>
      <c r="N293" s="110"/>
      <c r="O293" s="110"/>
      <c r="P293" s="110"/>
      <c r="Q293" s="110"/>
      <c r="R293" s="110"/>
    </row>
    <row r="294" spans="1:23" x14ac:dyDescent="0.3">
      <c r="A294" s="109">
        <v>269</v>
      </c>
      <c r="B294" s="58">
        <f t="shared" si="66"/>
        <v>0</v>
      </c>
      <c r="C294" s="116">
        <f t="shared" si="67"/>
        <v>0</v>
      </c>
      <c r="D294" s="117">
        <f t="shared" si="68"/>
        <v>0</v>
      </c>
      <c r="E294" s="297">
        <f t="shared" si="69"/>
        <v>0</v>
      </c>
      <c r="F294" s="116">
        <f t="shared" si="61"/>
        <v>0</v>
      </c>
      <c r="G294" s="117">
        <f t="shared" si="62"/>
        <v>0</v>
      </c>
      <c r="H294" s="116">
        <f t="shared" si="70"/>
        <v>0</v>
      </c>
      <c r="I294" s="116">
        <f t="shared" si="63"/>
        <v>0</v>
      </c>
      <c r="J294" s="119">
        <f t="shared" si="64"/>
        <v>0</v>
      </c>
      <c r="K294" s="119">
        <f t="shared" si="65"/>
        <v>0</v>
      </c>
      <c r="L294" s="110"/>
      <c r="M294" s="110"/>
      <c r="N294" s="110"/>
      <c r="O294" s="110"/>
      <c r="P294" s="110"/>
      <c r="Q294" s="110"/>
      <c r="R294" s="110"/>
    </row>
    <row r="295" spans="1:23" x14ac:dyDescent="0.3">
      <c r="A295" s="109">
        <v>270</v>
      </c>
      <c r="B295" s="58">
        <f t="shared" si="66"/>
        <v>0</v>
      </c>
      <c r="C295" s="116">
        <f t="shared" si="67"/>
        <v>0</v>
      </c>
      <c r="D295" s="117">
        <f t="shared" si="68"/>
        <v>0</v>
      </c>
      <c r="E295" s="297">
        <f t="shared" si="69"/>
        <v>0</v>
      </c>
      <c r="F295" s="116">
        <f t="shared" si="61"/>
        <v>0</v>
      </c>
      <c r="G295" s="117">
        <f t="shared" si="62"/>
        <v>0</v>
      </c>
      <c r="H295" s="116">
        <f t="shared" si="70"/>
        <v>0</v>
      </c>
      <c r="I295" s="116">
        <f t="shared" si="63"/>
        <v>0</v>
      </c>
      <c r="J295" s="119">
        <f t="shared" si="64"/>
        <v>0</v>
      </c>
      <c r="K295" s="119">
        <f t="shared" si="65"/>
        <v>0</v>
      </c>
      <c r="L295" s="110"/>
      <c r="M295" s="110"/>
      <c r="N295" s="110"/>
      <c r="O295" s="110"/>
      <c r="P295" s="110"/>
      <c r="Q295" s="110"/>
      <c r="R295" s="110"/>
    </row>
    <row r="296" spans="1:23" x14ac:dyDescent="0.3">
      <c r="A296" s="109">
        <v>271</v>
      </c>
      <c r="B296" s="58">
        <f t="shared" si="66"/>
        <v>0</v>
      </c>
      <c r="C296" s="116">
        <f t="shared" si="67"/>
        <v>0</v>
      </c>
      <c r="D296" s="117">
        <f t="shared" si="68"/>
        <v>0</v>
      </c>
      <c r="E296" s="297">
        <f t="shared" si="69"/>
        <v>0</v>
      </c>
      <c r="F296" s="116">
        <f t="shared" si="61"/>
        <v>0</v>
      </c>
      <c r="G296" s="117">
        <f t="shared" si="62"/>
        <v>0</v>
      </c>
      <c r="H296" s="116">
        <f t="shared" si="70"/>
        <v>0</v>
      </c>
      <c r="I296" s="116">
        <f t="shared" si="63"/>
        <v>0</v>
      </c>
      <c r="J296" s="119">
        <f t="shared" si="64"/>
        <v>0</v>
      </c>
      <c r="K296" s="119">
        <f t="shared" si="65"/>
        <v>0</v>
      </c>
      <c r="L296" s="110"/>
      <c r="M296" s="110"/>
      <c r="N296" s="110"/>
      <c r="O296" s="110"/>
      <c r="P296" s="110"/>
      <c r="Q296" s="110"/>
      <c r="R296" s="110"/>
    </row>
    <row r="297" spans="1:23" x14ac:dyDescent="0.3">
      <c r="A297" s="109">
        <v>272</v>
      </c>
      <c r="B297" s="58">
        <f t="shared" si="66"/>
        <v>0</v>
      </c>
      <c r="C297" s="116">
        <f t="shared" si="67"/>
        <v>0</v>
      </c>
      <c r="D297" s="117">
        <f t="shared" si="68"/>
        <v>0</v>
      </c>
      <c r="E297" s="297">
        <f t="shared" si="69"/>
        <v>0</v>
      </c>
      <c r="F297" s="116">
        <f t="shared" si="61"/>
        <v>0</v>
      </c>
      <c r="G297" s="117">
        <f t="shared" si="62"/>
        <v>0</v>
      </c>
      <c r="H297" s="116">
        <f t="shared" si="70"/>
        <v>0</v>
      </c>
      <c r="I297" s="116">
        <f t="shared" si="63"/>
        <v>0</v>
      </c>
      <c r="J297" s="119">
        <f t="shared" si="64"/>
        <v>0</v>
      </c>
      <c r="K297" s="119">
        <f t="shared" si="65"/>
        <v>0</v>
      </c>
      <c r="L297" s="110"/>
      <c r="M297" s="110"/>
      <c r="N297" s="110"/>
      <c r="O297" s="110"/>
      <c r="P297" s="110"/>
      <c r="Q297" s="110"/>
      <c r="R297" s="110"/>
    </row>
    <row r="298" spans="1:23" x14ac:dyDescent="0.3">
      <c r="A298" s="109">
        <v>273</v>
      </c>
      <c r="B298" s="58">
        <f t="shared" si="66"/>
        <v>0</v>
      </c>
      <c r="C298" s="116">
        <f t="shared" si="67"/>
        <v>0</v>
      </c>
      <c r="D298" s="117">
        <f t="shared" si="68"/>
        <v>0</v>
      </c>
      <c r="E298" s="297">
        <f t="shared" si="69"/>
        <v>0</v>
      </c>
      <c r="F298" s="116">
        <f t="shared" si="61"/>
        <v>0</v>
      </c>
      <c r="G298" s="117">
        <f t="shared" si="62"/>
        <v>0</v>
      </c>
      <c r="H298" s="116">
        <f t="shared" si="70"/>
        <v>0</v>
      </c>
      <c r="I298" s="116">
        <f t="shared" si="63"/>
        <v>0</v>
      </c>
      <c r="J298" s="119">
        <f t="shared" si="64"/>
        <v>0</v>
      </c>
      <c r="K298" s="119">
        <f t="shared" si="65"/>
        <v>0</v>
      </c>
      <c r="L298" s="110"/>
      <c r="M298" s="110"/>
      <c r="N298" s="110"/>
      <c r="O298" s="110"/>
      <c r="P298" s="110"/>
      <c r="Q298" s="110"/>
      <c r="R298" s="110"/>
    </row>
    <row r="299" spans="1:23" x14ac:dyDescent="0.3">
      <c r="A299" s="109">
        <v>274</v>
      </c>
      <c r="B299" s="58">
        <f t="shared" si="66"/>
        <v>0</v>
      </c>
      <c r="C299" s="116">
        <f t="shared" si="67"/>
        <v>0</v>
      </c>
      <c r="D299" s="117">
        <f t="shared" si="68"/>
        <v>0</v>
      </c>
      <c r="E299" s="297">
        <f t="shared" si="69"/>
        <v>0</v>
      </c>
      <c r="F299" s="116">
        <f t="shared" si="61"/>
        <v>0</v>
      </c>
      <c r="G299" s="117">
        <f t="shared" si="62"/>
        <v>0</v>
      </c>
      <c r="H299" s="116">
        <f t="shared" si="70"/>
        <v>0</v>
      </c>
      <c r="I299" s="116">
        <f t="shared" si="63"/>
        <v>0</v>
      </c>
      <c r="J299" s="119">
        <f t="shared" si="64"/>
        <v>0</v>
      </c>
      <c r="K299" s="119">
        <f t="shared" si="65"/>
        <v>0</v>
      </c>
      <c r="L299" s="110"/>
      <c r="M299" s="110"/>
      <c r="N299" s="110"/>
      <c r="O299" s="110"/>
      <c r="P299" s="110"/>
      <c r="Q299" s="110"/>
      <c r="R299" s="110"/>
    </row>
    <row r="300" spans="1:23" x14ac:dyDescent="0.3">
      <c r="A300" s="109">
        <v>275</v>
      </c>
      <c r="B300" s="58">
        <f t="shared" si="66"/>
        <v>0</v>
      </c>
      <c r="C300" s="116">
        <f t="shared" si="67"/>
        <v>0</v>
      </c>
      <c r="D300" s="117">
        <f t="shared" si="68"/>
        <v>0</v>
      </c>
      <c r="E300" s="297">
        <f t="shared" si="69"/>
        <v>0</v>
      </c>
      <c r="F300" s="116">
        <f t="shared" si="61"/>
        <v>0</v>
      </c>
      <c r="G300" s="117">
        <f t="shared" si="62"/>
        <v>0</v>
      </c>
      <c r="H300" s="116">
        <f t="shared" si="70"/>
        <v>0</v>
      </c>
      <c r="I300" s="116">
        <f t="shared" si="63"/>
        <v>0</v>
      </c>
      <c r="J300" s="119">
        <f t="shared" si="64"/>
        <v>0</v>
      </c>
      <c r="K300" s="119">
        <f t="shared" si="65"/>
        <v>0</v>
      </c>
      <c r="L300" s="110"/>
      <c r="M300" s="110"/>
      <c r="N300" s="110"/>
      <c r="O300" s="110"/>
      <c r="P300" s="110"/>
      <c r="Q300" s="110"/>
      <c r="R300" s="110"/>
    </row>
    <row r="301" spans="1:23" x14ac:dyDescent="0.3">
      <c r="A301" s="109">
        <v>276</v>
      </c>
      <c r="B301" s="58">
        <f t="shared" si="66"/>
        <v>0</v>
      </c>
      <c r="C301" s="116">
        <f t="shared" si="67"/>
        <v>0</v>
      </c>
      <c r="D301" s="117">
        <f t="shared" si="68"/>
        <v>0</v>
      </c>
      <c r="E301" s="297">
        <f t="shared" si="69"/>
        <v>0</v>
      </c>
      <c r="F301" s="116">
        <f t="shared" si="61"/>
        <v>0</v>
      </c>
      <c r="G301" s="117">
        <f t="shared" si="62"/>
        <v>0</v>
      </c>
      <c r="H301" s="116">
        <f t="shared" si="70"/>
        <v>0</v>
      </c>
      <c r="I301" s="116">
        <f t="shared" si="63"/>
        <v>0</v>
      </c>
      <c r="J301" s="119">
        <f t="shared" si="64"/>
        <v>0</v>
      </c>
      <c r="K301" s="119">
        <f t="shared" si="65"/>
        <v>0</v>
      </c>
      <c r="L301" s="58">
        <f t="shared" ref="L301:Q301" si="72">SUM(C290:C301)</f>
        <v>0</v>
      </c>
      <c r="M301" s="58">
        <f t="shared" si="72"/>
        <v>0</v>
      </c>
      <c r="N301" s="58">
        <f t="shared" si="72"/>
        <v>0</v>
      </c>
      <c r="O301" s="58">
        <f t="shared" si="72"/>
        <v>0</v>
      </c>
      <c r="P301" s="58">
        <f t="shared" si="72"/>
        <v>0</v>
      </c>
      <c r="Q301" s="58">
        <f t="shared" si="72"/>
        <v>0</v>
      </c>
      <c r="R301" s="58">
        <f>SUM(J290:J301)</f>
        <v>0</v>
      </c>
      <c r="S301" s="29">
        <f>SUM(K290:K301)</f>
        <v>0</v>
      </c>
      <c r="T301" s="29"/>
      <c r="U301" s="29"/>
      <c r="V301" s="29"/>
      <c r="W301" s="29"/>
    </row>
    <row r="302" spans="1:23" x14ac:dyDescent="0.3">
      <c r="A302" s="109">
        <v>277</v>
      </c>
      <c r="B302" s="58">
        <f t="shared" si="66"/>
        <v>0</v>
      </c>
      <c r="C302" s="116">
        <f t="shared" si="67"/>
        <v>0</v>
      </c>
      <c r="D302" s="117">
        <f t="shared" si="68"/>
        <v>0</v>
      </c>
      <c r="E302" s="297">
        <f t="shared" si="69"/>
        <v>0</v>
      </c>
      <c r="F302" s="116">
        <f t="shared" si="61"/>
        <v>0</v>
      </c>
      <c r="G302" s="117">
        <f t="shared" si="62"/>
        <v>0</v>
      </c>
      <c r="H302" s="116">
        <f t="shared" si="70"/>
        <v>0</v>
      </c>
      <c r="I302" s="116">
        <f t="shared" si="63"/>
        <v>0</v>
      </c>
      <c r="J302" s="119">
        <f t="shared" si="64"/>
        <v>0</v>
      </c>
      <c r="K302" s="119">
        <f t="shared" si="65"/>
        <v>0</v>
      </c>
      <c r="L302" s="110"/>
      <c r="M302" s="110"/>
      <c r="N302" s="110"/>
      <c r="O302" s="110"/>
      <c r="P302" s="110"/>
      <c r="Q302" s="110"/>
      <c r="R302" s="110"/>
    </row>
    <row r="303" spans="1:23" x14ac:dyDescent="0.3">
      <c r="A303" s="109">
        <v>278</v>
      </c>
      <c r="B303" s="58">
        <f t="shared" si="66"/>
        <v>0</v>
      </c>
      <c r="C303" s="116">
        <f t="shared" si="67"/>
        <v>0</v>
      </c>
      <c r="D303" s="117">
        <f t="shared" si="68"/>
        <v>0</v>
      </c>
      <c r="E303" s="297">
        <f t="shared" si="69"/>
        <v>0</v>
      </c>
      <c r="F303" s="116">
        <f t="shared" si="61"/>
        <v>0</v>
      </c>
      <c r="G303" s="117">
        <f t="shared" si="62"/>
        <v>0</v>
      </c>
      <c r="H303" s="116">
        <f t="shared" si="70"/>
        <v>0</v>
      </c>
      <c r="I303" s="116">
        <f t="shared" si="63"/>
        <v>0</v>
      </c>
      <c r="J303" s="119">
        <f t="shared" si="64"/>
        <v>0</v>
      </c>
      <c r="K303" s="119">
        <f t="shared" si="65"/>
        <v>0</v>
      </c>
      <c r="L303" s="110"/>
      <c r="M303" s="110"/>
      <c r="N303" s="110"/>
      <c r="O303" s="110"/>
      <c r="P303" s="110"/>
      <c r="Q303" s="110"/>
      <c r="R303" s="110"/>
    </row>
    <row r="304" spans="1:23" x14ac:dyDescent="0.3">
      <c r="A304" s="109">
        <v>279</v>
      </c>
      <c r="B304" s="58">
        <f t="shared" si="66"/>
        <v>0</v>
      </c>
      <c r="C304" s="116">
        <f t="shared" si="67"/>
        <v>0</v>
      </c>
      <c r="D304" s="117">
        <f t="shared" si="68"/>
        <v>0</v>
      </c>
      <c r="E304" s="297">
        <f t="shared" si="69"/>
        <v>0</v>
      </c>
      <c r="F304" s="116">
        <f t="shared" si="61"/>
        <v>0</v>
      </c>
      <c r="G304" s="117">
        <f t="shared" si="62"/>
        <v>0</v>
      </c>
      <c r="H304" s="116">
        <f t="shared" si="70"/>
        <v>0</v>
      </c>
      <c r="I304" s="116">
        <f t="shared" si="63"/>
        <v>0</v>
      </c>
      <c r="J304" s="119">
        <f t="shared" si="64"/>
        <v>0</v>
      </c>
      <c r="K304" s="119">
        <f t="shared" si="65"/>
        <v>0</v>
      </c>
      <c r="L304" s="110"/>
      <c r="M304" s="110"/>
      <c r="N304" s="110"/>
      <c r="O304" s="110"/>
      <c r="P304" s="110"/>
      <c r="Q304" s="110"/>
      <c r="R304" s="110"/>
    </row>
    <row r="305" spans="1:23" x14ac:dyDescent="0.3">
      <c r="A305" s="109">
        <v>280</v>
      </c>
      <c r="B305" s="58">
        <f t="shared" si="66"/>
        <v>0</v>
      </c>
      <c r="C305" s="116">
        <f t="shared" si="67"/>
        <v>0</v>
      </c>
      <c r="D305" s="117">
        <f t="shared" si="68"/>
        <v>0</v>
      </c>
      <c r="E305" s="297">
        <f t="shared" si="69"/>
        <v>0</v>
      </c>
      <c r="F305" s="116">
        <f t="shared" si="61"/>
        <v>0</v>
      </c>
      <c r="G305" s="117">
        <f t="shared" si="62"/>
        <v>0</v>
      </c>
      <c r="H305" s="116">
        <f t="shared" si="70"/>
        <v>0</v>
      </c>
      <c r="I305" s="116">
        <f t="shared" si="63"/>
        <v>0</v>
      </c>
      <c r="J305" s="119">
        <f t="shared" si="64"/>
        <v>0</v>
      </c>
      <c r="K305" s="119">
        <f t="shared" si="65"/>
        <v>0</v>
      </c>
      <c r="L305" s="110"/>
      <c r="M305" s="110"/>
      <c r="N305" s="110"/>
      <c r="O305" s="110"/>
      <c r="P305" s="110"/>
      <c r="Q305" s="110"/>
      <c r="R305" s="110"/>
    </row>
    <row r="306" spans="1:23" x14ac:dyDescent="0.3">
      <c r="A306" s="109">
        <v>281</v>
      </c>
      <c r="B306" s="58">
        <f t="shared" si="66"/>
        <v>0</v>
      </c>
      <c r="C306" s="116">
        <f t="shared" si="67"/>
        <v>0</v>
      </c>
      <c r="D306" s="117">
        <f t="shared" si="68"/>
        <v>0</v>
      </c>
      <c r="E306" s="297">
        <f t="shared" si="69"/>
        <v>0</v>
      </c>
      <c r="F306" s="116">
        <f t="shared" si="61"/>
        <v>0</v>
      </c>
      <c r="G306" s="117">
        <f t="shared" si="62"/>
        <v>0</v>
      </c>
      <c r="H306" s="116">
        <f t="shared" si="70"/>
        <v>0</v>
      </c>
      <c r="I306" s="116">
        <f t="shared" si="63"/>
        <v>0</v>
      </c>
      <c r="J306" s="119">
        <f t="shared" si="64"/>
        <v>0</v>
      </c>
      <c r="K306" s="119">
        <f t="shared" si="65"/>
        <v>0</v>
      </c>
      <c r="L306" s="110"/>
      <c r="M306" s="110"/>
      <c r="N306" s="110"/>
      <c r="O306" s="110"/>
      <c r="P306" s="110"/>
      <c r="Q306" s="110"/>
      <c r="R306" s="110"/>
    </row>
    <row r="307" spans="1:23" x14ac:dyDescent="0.3">
      <c r="A307" s="109">
        <v>282</v>
      </c>
      <c r="B307" s="58">
        <f t="shared" si="66"/>
        <v>0</v>
      </c>
      <c r="C307" s="116">
        <f t="shared" si="67"/>
        <v>0</v>
      </c>
      <c r="D307" s="117">
        <f t="shared" si="68"/>
        <v>0</v>
      </c>
      <c r="E307" s="297">
        <f t="shared" si="69"/>
        <v>0</v>
      </c>
      <c r="F307" s="116">
        <f t="shared" si="61"/>
        <v>0</v>
      </c>
      <c r="G307" s="117">
        <f t="shared" si="62"/>
        <v>0</v>
      </c>
      <c r="H307" s="116">
        <f t="shared" si="70"/>
        <v>0</v>
      </c>
      <c r="I307" s="116">
        <f t="shared" si="63"/>
        <v>0</v>
      </c>
      <c r="J307" s="119">
        <f t="shared" si="64"/>
        <v>0</v>
      </c>
      <c r="K307" s="119">
        <f t="shared" si="65"/>
        <v>0</v>
      </c>
      <c r="L307" s="110"/>
      <c r="M307" s="110"/>
      <c r="N307" s="110"/>
      <c r="O307" s="110"/>
      <c r="P307" s="110"/>
      <c r="Q307" s="110"/>
      <c r="R307" s="110"/>
    </row>
    <row r="308" spans="1:23" x14ac:dyDescent="0.3">
      <c r="A308" s="109">
        <v>283</v>
      </c>
      <c r="B308" s="58">
        <f t="shared" si="66"/>
        <v>0</v>
      </c>
      <c r="C308" s="116">
        <f t="shared" si="67"/>
        <v>0</v>
      </c>
      <c r="D308" s="117">
        <f t="shared" si="68"/>
        <v>0</v>
      </c>
      <c r="E308" s="297">
        <f t="shared" si="69"/>
        <v>0</v>
      </c>
      <c r="F308" s="116">
        <f t="shared" si="61"/>
        <v>0</v>
      </c>
      <c r="G308" s="117">
        <f t="shared" si="62"/>
        <v>0</v>
      </c>
      <c r="H308" s="116">
        <f t="shared" si="70"/>
        <v>0</v>
      </c>
      <c r="I308" s="116">
        <f t="shared" si="63"/>
        <v>0</v>
      </c>
      <c r="J308" s="119">
        <f t="shared" si="64"/>
        <v>0</v>
      </c>
      <c r="K308" s="119">
        <f t="shared" si="65"/>
        <v>0</v>
      </c>
      <c r="L308" s="110"/>
      <c r="M308" s="110"/>
      <c r="N308" s="110"/>
      <c r="O308" s="110"/>
      <c r="P308" s="110"/>
      <c r="Q308" s="110"/>
      <c r="R308" s="110"/>
    </row>
    <row r="309" spans="1:23" x14ac:dyDescent="0.3">
      <c r="A309" s="109">
        <v>284</v>
      </c>
      <c r="B309" s="58">
        <f t="shared" si="66"/>
        <v>0</v>
      </c>
      <c r="C309" s="116">
        <f t="shared" si="67"/>
        <v>0</v>
      </c>
      <c r="D309" s="117">
        <f t="shared" si="68"/>
        <v>0</v>
      </c>
      <c r="E309" s="297">
        <f t="shared" si="69"/>
        <v>0</v>
      </c>
      <c r="F309" s="116">
        <f t="shared" si="61"/>
        <v>0</v>
      </c>
      <c r="G309" s="117">
        <f t="shared" si="62"/>
        <v>0</v>
      </c>
      <c r="H309" s="116">
        <f t="shared" si="70"/>
        <v>0</v>
      </c>
      <c r="I309" s="116">
        <f t="shared" si="63"/>
        <v>0</v>
      </c>
      <c r="J309" s="119">
        <f t="shared" si="64"/>
        <v>0</v>
      </c>
      <c r="K309" s="119">
        <f t="shared" si="65"/>
        <v>0</v>
      </c>
      <c r="L309" s="110"/>
      <c r="M309" s="110"/>
      <c r="N309" s="110"/>
      <c r="O309" s="110"/>
      <c r="P309" s="110"/>
      <c r="Q309" s="110"/>
      <c r="R309" s="110"/>
    </row>
    <row r="310" spans="1:23" x14ac:dyDescent="0.3">
      <c r="A310" s="109">
        <v>285</v>
      </c>
      <c r="B310" s="58">
        <f t="shared" si="66"/>
        <v>0</v>
      </c>
      <c r="C310" s="116">
        <f t="shared" si="67"/>
        <v>0</v>
      </c>
      <c r="D310" s="117">
        <f t="shared" si="68"/>
        <v>0</v>
      </c>
      <c r="E310" s="297">
        <f t="shared" si="69"/>
        <v>0</v>
      </c>
      <c r="F310" s="116">
        <f t="shared" si="61"/>
        <v>0</v>
      </c>
      <c r="G310" s="117">
        <f t="shared" si="62"/>
        <v>0</v>
      </c>
      <c r="H310" s="116">
        <f t="shared" si="70"/>
        <v>0</v>
      </c>
      <c r="I310" s="116">
        <f t="shared" si="63"/>
        <v>0</v>
      </c>
      <c r="J310" s="119">
        <f t="shared" si="64"/>
        <v>0</v>
      </c>
      <c r="K310" s="119">
        <f t="shared" si="65"/>
        <v>0</v>
      </c>
      <c r="L310" s="110"/>
      <c r="M310" s="110"/>
      <c r="N310" s="110"/>
      <c r="O310" s="110"/>
      <c r="P310" s="110"/>
      <c r="Q310" s="110"/>
      <c r="R310" s="110"/>
    </row>
    <row r="311" spans="1:23" x14ac:dyDescent="0.3">
      <c r="A311" s="109">
        <v>286</v>
      </c>
      <c r="B311" s="58">
        <f t="shared" si="66"/>
        <v>0</v>
      </c>
      <c r="C311" s="116">
        <f t="shared" si="67"/>
        <v>0</v>
      </c>
      <c r="D311" s="117">
        <f t="shared" si="68"/>
        <v>0</v>
      </c>
      <c r="E311" s="297">
        <f t="shared" si="69"/>
        <v>0</v>
      </c>
      <c r="F311" s="116">
        <f t="shared" si="61"/>
        <v>0</v>
      </c>
      <c r="G311" s="117">
        <f t="shared" si="62"/>
        <v>0</v>
      </c>
      <c r="H311" s="116">
        <f t="shared" si="70"/>
        <v>0</v>
      </c>
      <c r="I311" s="116">
        <f t="shared" si="63"/>
        <v>0</v>
      </c>
      <c r="J311" s="119">
        <f t="shared" si="64"/>
        <v>0</v>
      </c>
      <c r="K311" s="119">
        <f t="shared" si="65"/>
        <v>0</v>
      </c>
      <c r="L311" s="110"/>
      <c r="M311" s="110"/>
      <c r="N311" s="110"/>
      <c r="O311" s="110"/>
      <c r="P311" s="110"/>
      <c r="Q311" s="110"/>
      <c r="R311" s="110"/>
    </row>
    <row r="312" spans="1:23" x14ac:dyDescent="0.3">
      <c r="A312" s="109">
        <v>287</v>
      </c>
      <c r="B312" s="58">
        <f t="shared" si="66"/>
        <v>0</v>
      </c>
      <c r="C312" s="116">
        <f t="shared" si="67"/>
        <v>0</v>
      </c>
      <c r="D312" s="117">
        <f t="shared" si="68"/>
        <v>0</v>
      </c>
      <c r="E312" s="297">
        <f t="shared" si="69"/>
        <v>0</v>
      </c>
      <c r="F312" s="116">
        <f t="shared" si="61"/>
        <v>0</v>
      </c>
      <c r="G312" s="117">
        <f t="shared" si="62"/>
        <v>0</v>
      </c>
      <c r="H312" s="116">
        <f t="shared" si="70"/>
        <v>0</v>
      </c>
      <c r="I312" s="116">
        <f t="shared" si="63"/>
        <v>0</v>
      </c>
      <c r="J312" s="119">
        <f t="shared" si="64"/>
        <v>0</v>
      </c>
      <c r="K312" s="119">
        <f t="shared" si="65"/>
        <v>0</v>
      </c>
      <c r="L312" s="110"/>
      <c r="M312" s="110"/>
      <c r="N312" s="110"/>
      <c r="O312" s="110"/>
      <c r="P312" s="110"/>
      <c r="Q312" s="110"/>
      <c r="R312" s="110"/>
    </row>
    <row r="313" spans="1:23" x14ac:dyDescent="0.3">
      <c r="A313" s="109">
        <v>288</v>
      </c>
      <c r="B313" s="58">
        <f t="shared" si="66"/>
        <v>0</v>
      </c>
      <c r="C313" s="116">
        <f t="shared" si="67"/>
        <v>0</v>
      </c>
      <c r="D313" s="117">
        <f t="shared" si="68"/>
        <v>0</v>
      </c>
      <c r="E313" s="297">
        <f t="shared" si="69"/>
        <v>0</v>
      </c>
      <c r="F313" s="116">
        <f t="shared" si="61"/>
        <v>0</v>
      </c>
      <c r="G313" s="117">
        <f t="shared" si="62"/>
        <v>0</v>
      </c>
      <c r="H313" s="116">
        <f t="shared" si="70"/>
        <v>0</v>
      </c>
      <c r="I313" s="116">
        <f t="shared" si="63"/>
        <v>0</v>
      </c>
      <c r="J313" s="119">
        <f t="shared" si="64"/>
        <v>0</v>
      </c>
      <c r="K313" s="119">
        <f t="shared" si="65"/>
        <v>0</v>
      </c>
      <c r="L313" s="58">
        <f t="shared" ref="L313:Q313" si="73">SUM(C302:C313)</f>
        <v>0</v>
      </c>
      <c r="M313" s="58">
        <f t="shared" si="73"/>
        <v>0</v>
      </c>
      <c r="N313" s="58">
        <f t="shared" si="73"/>
        <v>0</v>
      </c>
      <c r="O313" s="58">
        <f t="shared" si="73"/>
        <v>0</v>
      </c>
      <c r="P313" s="58">
        <f t="shared" si="73"/>
        <v>0</v>
      </c>
      <c r="Q313" s="58">
        <f t="shared" si="73"/>
        <v>0</v>
      </c>
      <c r="R313" s="58">
        <f>SUM(J302:J313)</f>
        <v>0</v>
      </c>
      <c r="S313" s="29">
        <f>SUM(K302:K313)</f>
        <v>0</v>
      </c>
      <c r="T313" s="29"/>
      <c r="U313" s="29"/>
      <c r="V313" s="29"/>
      <c r="W313" s="29"/>
    </row>
    <row r="314" spans="1:23" x14ac:dyDescent="0.3">
      <c r="A314" s="109">
        <v>289</v>
      </c>
      <c r="B314" s="58">
        <f t="shared" si="66"/>
        <v>0</v>
      </c>
      <c r="C314" s="116">
        <f t="shared" si="67"/>
        <v>0</v>
      </c>
      <c r="D314" s="117">
        <f t="shared" si="68"/>
        <v>0</v>
      </c>
      <c r="E314" s="297">
        <f t="shared" si="69"/>
        <v>0</v>
      </c>
      <c r="F314" s="116">
        <f t="shared" si="61"/>
        <v>0</v>
      </c>
      <c r="G314" s="117">
        <f t="shared" si="62"/>
        <v>0</v>
      </c>
      <c r="H314" s="116">
        <f t="shared" si="70"/>
        <v>0</v>
      </c>
      <c r="I314" s="116">
        <f t="shared" si="63"/>
        <v>0</v>
      </c>
      <c r="J314" s="119">
        <f t="shared" si="64"/>
        <v>0</v>
      </c>
      <c r="K314" s="119">
        <f t="shared" si="65"/>
        <v>0</v>
      </c>
      <c r="L314" s="110"/>
      <c r="M314" s="110"/>
      <c r="N314" s="110"/>
      <c r="O314" s="110"/>
      <c r="P314" s="110"/>
      <c r="Q314" s="110"/>
      <c r="R314" s="110"/>
    </row>
    <row r="315" spans="1:23" x14ac:dyDescent="0.3">
      <c r="A315" s="109">
        <v>290</v>
      </c>
      <c r="B315" s="58">
        <f t="shared" si="66"/>
        <v>0</v>
      </c>
      <c r="C315" s="116">
        <f t="shared" si="67"/>
        <v>0</v>
      </c>
      <c r="D315" s="117">
        <f t="shared" si="68"/>
        <v>0</v>
      </c>
      <c r="E315" s="297">
        <f t="shared" si="69"/>
        <v>0</v>
      </c>
      <c r="F315" s="116">
        <f t="shared" si="61"/>
        <v>0</v>
      </c>
      <c r="G315" s="117">
        <f t="shared" si="62"/>
        <v>0</v>
      </c>
      <c r="H315" s="116">
        <f t="shared" si="70"/>
        <v>0</v>
      </c>
      <c r="I315" s="116">
        <f t="shared" si="63"/>
        <v>0</v>
      </c>
      <c r="J315" s="119">
        <f t="shared" si="64"/>
        <v>0</v>
      </c>
      <c r="K315" s="119">
        <f t="shared" si="65"/>
        <v>0</v>
      </c>
      <c r="L315" s="110"/>
      <c r="M315" s="110"/>
      <c r="N315" s="110"/>
      <c r="O315" s="110"/>
      <c r="P315" s="110"/>
      <c r="Q315" s="110"/>
      <c r="R315" s="110"/>
    </row>
    <row r="316" spans="1:23" x14ac:dyDescent="0.3">
      <c r="A316" s="109">
        <v>291</v>
      </c>
      <c r="B316" s="58">
        <f t="shared" si="66"/>
        <v>0</v>
      </c>
      <c r="C316" s="116">
        <f t="shared" si="67"/>
        <v>0</v>
      </c>
      <c r="D316" s="117">
        <f t="shared" si="68"/>
        <v>0</v>
      </c>
      <c r="E316" s="297">
        <f t="shared" si="69"/>
        <v>0</v>
      </c>
      <c r="F316" s="116">
        <f t="shared" si="61"/>
        <v>0</v>
      </c>
      <c r="G316" s="117">
        <f t="shared" si="62"/>
        <v>0</v>
      </c>
      <c r="H316" s="116">
        <f t="shared" si="70"/>
        <v>0</v>
      </c>
      <c r="I316" s="116">
        <f t="shared" si="63"/>
        <v>0</v>
      </c>
      <c r="J316" s="119">
        <f t="shared" si="64"/>
        <v>0</v>
      </c>
      <c r="K316" s="119">
        <f t="shared" si="65"/>
        <v>0</v>
      </c>
      <c r="L316" s="110"/>
      <c r="M316" s="110"/>
      <c r="N316" s="110"/>
      <c r="O316" s="110"/>
      <c r="P316" s="110"/>
      <c r="Q316" s="110"/>
      <c r="R316" s="110"/>
    </row>
    <row r="317" spans="1:23" x14ac:dyDescent="0.3">
      <c r="A317" s="109">
        <v>292</v>
      </c>
      <c r="B317" s="58">
        <f t="shared" si="66"/>
        <v>0</v>
      </c>
      <c r="C317" s="116">
        <f t="shared" si="67"/>
        <v>0</v>
      </c>
      <c r="D317" s="117">
        <f t="shared" si="68"/>
        <v>0</v>
      </c>
      <c r="E317" s="297">
        <f t="shared" si="69"/>
        <v>0</v>
      </c>
      <c r="F317" s="116">
        <f t="shared" si="61"/>
        <v>0</v>
      </c>
      <c r="G317" s="117">
        <f t="shared" si="62"/>
        <v>0</v>
      </c>
      <c r="H317" s="116">
        <f t="shared" si="70"/>
        <v>0</v>
      </c>
      <c r="I317" s="116">
        <f t="shared" si="63"/>
        <v>0</v>
      </c>
      <c r="J317" s="119">
        <f t="shared" si="64"/>
        <v>0</v>
      </c>
      <c r="K317" s="119">
        <f t="shared" si="65"/>
        <v>0</v>
      </c>
      <c r="L317" s="110"/>
      <c r="M317" s="110"/>
      <c r="N317" s="110"/>
      <c r="O317" s="110"/>
      <c r="P317" s="110"/>
      <c r="Q317" s="110"/>
      <c r="R317" s="110"/>
    </row>
    <row r="318" spans="1:23" x14ac:dyDescent="0.3">
      <c r="A318" s="109">
        <v>293</v>
      </c>
      <c r="B318" s="58">
        <f t="shared" si="66"/>
        <v>0</v>
      </c>
      <c r="C318" s="116">
        <f t="shared" si="67"/>
        <v>0</v>
      </c>
      <c r="D318" s="117">
        <f t="shared" si="68"/>
        <v>0</v>
      </c>
      <c r="E318" s="297">
        <f t="shared" si="69"/>
        <v>0</v>
      </c>
      <c r="F318" s="116">
        <f t="shared" si="61"/>
        <v>0</v>
      </c>
      <c r="G318" s="117">
        <f t="shared" si="62"/>
        <v>0</v>
      </c>
      <c r="H318" s="116">
        <f t="shared" si="70"/>
        <v>0</v>
      </c>
      <c r="I318" s="116">
        <f t="shared" si="63"/>
        <v>0</v>
      </c>
      <c r="J318" s="119">
        <f t="shared" si="64"/>
        <v>0</v>
      </c>
      <c r="K318" s="119">
        <f t="shared" si="65"/>
        <v>0</v>
      </c>
      <c r="L318" s="110"/>
      <c r="M318" s="110"/>
      <c r="N318" s="110"/>
      <c r="O318" s="110"/>
      <c r="P318" s="110"/>
      <c r="Q318" s="110"/>
      <c r="R318" s="110"/>
    </row>
    <row r="319" spans="1:23" x14ac:dyDescent="0.3">
      <c r="A319" s="109">
        <v>294</v>
      </c>
      <c r="B319" s="58">
        <f t="shared" si="66"/>
        <v>0</v>
      </c>
      <c r="C319" s="116">
        <f t="shared" si="67"/>
        <v>0</v>
      </c>
      <c r="D319" s="117">
        <f t="shared" si="68"/>
        <v>0</v>
      </c>
      <c r="E319" s="297">
        <f t="shared" si="69"/>
        <v>0</v>
      </c>
      <c r="F319" s="116">
        <f t="shared" si="61"/>
        <v>0</v>
      </c>
      <c r="G319" s="117">
        <f t="shared" si="62"/>
        <v>0</v>
      </c>
      <c r="H319" s="116">
        <f t="shared" si="70"/>
        <v>0</v>
      </c>
      <c r="I319" s="116">
        <f t="shared" si="63"/>
        <v>0</v>
      </c>
      <c r="J319" s="119">
        <f t="shared" si="64"/>
        <v>0</v>
      </c>
      <c r="K319" s="119">
        <f t="shared" si="65"/>
        <v>0</v>
      </c>
      <c r="L319" s="110"/>
      <c r="M319" s="110"/>
      <c r="N319" s="110"/>
      <c r="O319" s="110"/>
      <c r="P319" s="110"/>
      <c r="Q319" s="110"/>
      <c r="R319" s="110"/>
    </row>
    <row r="320" spans="1:23" x14ac:dyDescent="0.3">
      <c r="A320" s="109">
        <v>295</v>
      </c>
      <c r="B320" s="58">
        <f t="shared" si="66"/>
        <v>0</v>
      </c>
      <c r="C320" s="116">
        <f t="shared" si="67"/>
        <v>0</v>
      </c>
      <c r="D320" s="117">
        <f t="shared" si="68"/>
        <v>0</v>
      </c>
      <c r="E320" s="297">
        <f t="shared" si="69"/>
        <v>0</v>
      </c>
      <c r="F320" s="116">
        <f t="shared" si="61"/>
        <v>0</v>
      </c>
      <c r="G320" s="117">
        <f t="shared" si="62"/>
        <v>0</v>
      </c>
      <c r="H320" s="116">
        <f t="shared" si="70"/>
        <v>0</v>
      </c>
      <c r="I320" s="116">
        <f t="shared" si="63"/>
        <v>0</v>
      </c>
      <c r="J320" s="119">
        <f t="shared" si="64"/>
        <v>0</v>
      </c>
      <c r="K320" s="119">
        <f t="shared" si="65"/>
        <v>0</v>
      </c>
      <c r="L320" s="110"/>
      <c r="M320" s="110"/>
      <c r="N320" s="110"/>
      <c r="O320" s="110"/>
      <c r="P320" s="110"/>
      <c r="Q320" s="110"/>
      <c r="R320" s="110"/>
    </row>
    <row r="321" spans="1:23" x14ac:dyDescent="0.3">
      <c r="A321" s="109">
        <v>296</v>
      </c>
      <c r="B321" s="58">
        <f t="shared" si="66"/>
        <v>0</v>
      </c>
      <c r="C321" s="116">
        <f t="shared" si="67"/>
        <v>0</v>
      </c>
      <c r="D321" s="117">
        <f t="shared" si="68"/>
        <v>0</v>
      </c>
      <c r="E321" s="297">
        <f t="shared" si="69"/>
        <v>0</v>
      </c>
      <c r="F321" s="116">
        <f t="shared" si="61"/>
        <v>0</v>
      </c>
      <c r="G321" s="117">
        <f t="shared" si="62"/>
        <v>0</v>
      </c>
      <c r="H321" s="116">
        <f t="shared" si="70"/>
        <v>0</v>
      </c>
      <c r="I321" s="116">
        <f t="shared" si="63"/>
        <v>0</v>
      </c>
      <c r="J321" s="119">
        <f t="shared" si="64"/>
        <v>0</v>
      </c>
      <c r="K321" s="119">
        <f t="shared" si="65"/>
        <v>0</v>
      </c>
      <c r="L321" s="110"/>
      <c r="M321" s="110"/>
      <c r="N321" s="110"/>
      <c r="O321" s="110"/>
      <c r="P321" s="110"/>
      <c r="Q321" s="110"/>
      <c r="R321" s="110"/>
    </row>
    <row r="322" spans="1:23" x14ac:dyDescent="0.3">
      <c r="A322" s="109">
        <v>297</v>
      </c>
      <c r="B322" s="58">
        <f t="shared" si="66"/>
        <v>0</v>
      </c>
      <c r="C322" s="116">
        <f t="shared" si="67"/>
        <v>0</v>
      </c>
      <c r="D322" s="117">
        <f t="shared" si="68"/>
        <v>0</v>
      </c>
      <c r="E322" s="297">
        <f t="shared" si="69"/>
        <v>0</v>
      </c>
      <c r="F322" s="116">
        <f t="shared" si="61"/>
        <v>0</v>
      </c>
      <c r="G322" s="117">
        <f t="shared" si="62"/>
        <v>0</v>
      </c>
      <c r="H322" s="116">
        <f t="shared" si="70"/>
        <v>0</v>
      </c>
      <c r="I322" s="116">
        <f t="shared" si="63"/>
        <v>0</v>
      </c>
      <c r="J322" s="119">
        <f t="shared" si="64"/>
        <v>0</v>
      </c>
      <c r="K322" s="119">
        <f t="shared" si="65"/>
        <v>0</v>
      </c>
      <c r="L322" s="110"/>
      <c r="M322" s="110"/>
      <c r="N322" s="110"/>
      <c r="O322" s="110"/>
      <c r="P322" s="110"/>
      <c r="Q322" s="110"/>
      <c r="R322" s="110"/>
    </row>
    <row r="323" spans="1:23" x14ac:dyDescent="0.3">
      <c r="A323" s="109">
        <v>298</v>
      </c>
      <c r="B323" s="58">
        <f t="shared" si="66"/>
        <v>0</v>
      </c>
      <c r="C323" s="116">
        <f t="shared" si="67"/>
        <v>0</v>
      </c>
      <c r="D323" s="117">
        <f t="shared" si="68"/>
        <v>0</v>
      </c>
      <c r="E323" s="297">
        <f t="shared" si="69"/>
        <v>0</v>
      </c>
      <c r="F323" s="116">
        <f t="shared" si="61"/>
        <v>0</v>
      </c>
      <c r="G323" s="117">
        <f t="shared" si="62"/>
        <v>0</v>
      </c>
      <c r="H323" s="116">
        <f t="shared" si="70"/>
        <v>0</v>
      </c>
      <c r="I323" s="116">
        <f t="shared" si="63"/>
        <v>0</v>
      </c>
      <c r="J323" s="119">
        <f t="shared" si="64"/>
        <v>0</v>
      </c>
      <c r="K323" s="119">
        <f t="shared" si="65"/>
        <v>0</v>
      </c>
      <c r="L323" s="110"/>
      <c r="M323" s="110"/>
      <c r="N323" s="110"/>
      <c r="O323" s="110"/>
      <c r="P323" s="110"/>
      <c r="Q323" s="110"/>
      <c r="R323" s="110"/>
    </row>
    <row r="324" spans="1:23" x14ac:dyDescent="0.3">
      <c r="A324" s="109">
        <v>299</v>
      </c>
      <c r="B324" s="58">
        <f t="shared" si="66"/>
        <v>0</v>
      </c>
      <c r="C324" s="116">
        <f t="shared" si="67"/>
        <v>0</v>
      </c>
      <c r="D324" s="117">
        <f t="shared" si="68"/>
        <v>0</v>
      </c>
      <c r="E324" s="297">
        <f t="shared" si="69"/>
        <v>0</v>
      </c>
      <c r="F324" s="116">
        <f t="shared" si="61"/>
        <v>0</v>
      </c>
      <c r="G324" s="117">
        <f t="shared" si="62"/>
        <v>0</v>
      </c>
      <c r="H324" s="116">
        <f t="shared" si="70"/>
        <v>0</v>
      </c>
      <c r="I324" s="116">
        <f t="shared" si="63"/>
        <v>0</v>
      </c>
      <c r="J324" s="119">
        <f t="shared" si="64"/>
        <v>0</v>
      </c>
      <c r="K324" s="119">
        <f t="shared" si="65"/>
        <v>0</v>
      </c>
      <c r="L324" s="110"/>
      <c r="M324" s="110"/>
      <c r="N324" s="110"/>
      <c r="O324" s="110"/>
      <c r="P324" s="110"/>
      <c r="Q324" s="110"/>
      <c r="R324" s="110"/>
    </row>
    <row r="325" spans="1:23" x14ac:dyDescent="0.3">
      <c r="A325" s="109">
        <v>300</v>
      </c>
      <c r="B325" s="58">
        <f t="shared" si="66"/>
        <v>0</v>
      </c>
      <c r="C325" s="116">
        <f t="shared" si="67"/>
        <v>0</v>
      </c>
      <c r="D325" s="117">
        <f t="shared" si="68"/>
        <v>0</v>
      </c>
      <c r="E325" s="297">
        <f t="shared" si="69"/>
        <v>0</v>
      </c>
      <c r="F325" s="116">
        <f t="shared" si="61"/>
        <v>0</v>
      </c>
      <c r="G325" s="117">
        <f t="shared" si="62"/>
        <v>0</v>
      </c>
      <c r="H325" s="116">
        <f t="shared" si="70"/>
        <v>0</v>
      </c>
      <c r="I325" s="116">
        <f t="shared" si="63"/>
        <v>0</v>
      </c>
      <c r="J325" s="119">
        <f t="shared" si="64"/>
        <v>0</v>
      </c>
      <c r="K325" s="119">
        <f t="shared" si="65"/>
        <v>0</v>
      </c>
      <c r="L325" s="58">
        <f t="shared" ref="L325:Q325" si="74">SUM(C314:C325)</f>
        <v>0</v>
      </c>
      <c r="M325" s="58">
        <f t="shared" si="74"/>
        <v>0</v>
      </c>
      <c r="N325" s="58">
        <f t="shared" si="74"/>
        <v>0</v>
      </c>
      <c r="O325" s="58">
        <f t="shared" si="74"/>
        <v>0</v>
      </c>
      <c r="P325" s="58">
        <f t="shared" si="74"/>
        <v>0</v>
      </c>
      <c r="Q325" s="58">
        <f t="shared" si="74"/>
        <v>0</v>
      </c>
      <c r="R325" s="58">
        <f>SUM(J314:J325)</f>
        <v>0</v>
      </c>
      <c r="S325" s="29">
        <f>SUM(K314:K325)</f>
        <v>0</v>
      </c>
      <c r="T325" s="29"/>
      <c r="U325" s="29"/>
      <c r="V325" s="29"/>
      <c r="W325" s="29"/>
    </row>
    <row r="326" spans="1:23" x14ac:dyDescent="0.3">
      <c r="A326" s="14" t="s">
        <v>10</v>
      </c>
      <c r="B326" s="15"/>
      <c r="C326" s="275">
        <f t="shared" si="67"/>
        <v>10000000</v>
      </c>
      <c r="D326" s="15">
        <f>SUM(D26:D325)</f>
        <v>3310324</v>
      </c>
      <c r="E326" s="298">
        <f t="shared" ref="E326:K326" si="75">SUM(E26:E325)</f>
        <v>9546960</v>
      </c>
      <c r="F326" s="15">
        <f t="shared" si="75"/>
        <v>13310324</v>
      </c>
      <c r="G326" s="15">
        <f t="shared" si="75"/>
        <v>0</v>
      </c>
      <c r="H326" s="15">
        <f t="shared" si="75"/>
        <v>13310324</v>
      </c>
      <c r="I326" s="15">
        <f t="shared" si="75"/>
        <v>13388324</v>
      </c>
      <c r="J326" s="120">
        <f t="shared" si="75"/>
        <v>14538306</v>
      </c>
      <c r="K326" s="120">
        <f t="shared" si="75"/>
        <v>15828428</v>
      </c>
      <c r="L326" s="7"/>
      <c r="M326" s="7"/>
      <c r="N326" s="7"/>
      <c r="O326" s="7"/>
      <c r="P326" s="7"/>
      <c r="Q326" s="7"/>
      <c r="R326" s="7"/>
    </row>
  </sheetData>
  <mergeCells count="155">
    <mergeCell ref="A5:B5"/>
    <mergeCell ref="H5:I12"/>
    <mergeCell ref="A6:B6"/>
    <mergeCell ref="E6:F6"/>
    <mergeCell ref="A7:B7"/>
    <mergeCell ref="A8:B8"/>
    <mergeCell ref="A9:B9"/>
    <mergeCell ref="A10:B10"/>
    <mergeCell ref="A1:B1"/>
    <mergeCell ref="C1:H1"/>
    <mergeCell ref="A2:B2"/>
    <mergeCell ref="D2:E2"/>
    <mergeCell ref="A3:B3"/>
    <mergeCell ref="A4:B4"/>
    <mergeCell ref="A15:B15"/>
    <mergeCell ref="A16:B16"/>
    <mergeCell ref="A17:B17"/>
    <mergeCell ref="A18:B18"/>
    <mergeCell ref="A19:B19"/>
    <mergeCell ref="A20:B20"/>
    <mergeCell ref="J10:K11"/>
    <mergeCell ref="A11:B11"/>
    <mergeCell ref="E11:F11"/>
    <mergeCell ref="A12:B12"/>
    <mergeCell ref="A13:B13"/>
    <mergeCell ref="A14:B14"/>
    <mergeCell ref="O21:P21"/>
    <mergeCell ref="Q21:R21"/>
    <mergeCell ref="S21:T21"/>
    <mergeCell ref="U21:V21"/>
    <mergeCell ref="W21:X21"/>
    <mergeCell ref="Y21:Z21"/>
    <mergeCell ref="A21:B21"/>
    <mergeCell ref="E21:F21"/>
    <mergeCell ref="G21:H21"/>
    <mergeCell ref="I21:J21"/>
    <mergeCell ref="K21:L21"/>
    <mergeCell ref="M21:N21"/>
    <mergeCell ref="AM21:AN21"/>
    <mergeCell ref="AO21:AP21"/>
    <mergeCell ref="AQ21:AR21"/>
    <mergeCell ref="AS21:AT21"/>
    <mergeCell ref="AU21:AV21"/>
    <mergeCell ref="AW21:AX21"/>
    <mergeCell ref="AA21:AB21"/>
    <mergeCell ref="AC21:AD21"/>
    <mergeCell ref="AE21:AF21"/>
    <mergeCell ref="AG21:AH21"/>
    <mergeCell ref="AI21:AJ21"/>
    <mergeCell ref="AK21:AL21"/>
    <mergeCell ref="BK21:BL21"/>
    <mergeCell ref="BM21:BN21"/>
    <mergeCell ref="BO21:BP21"/>
    <mergeCell ref="BQ21:BR21"/>
    <mergeCell ref="BS21:BT21"/>
    <mergeCell ref="BU21:BV21"/>
    <mergeCell ref="AY21:AZ21"/>
    <mergeCell ref="BA21:BB21"/>
    <mergeCell ref="BC21:BD21"/>
    <mergeCell ref="BE21:BF21"/>
    <mergeCell ref="BG21:BH21"/>
    <mergeCell ref="BI21:BJ21"/>
    <mergeCell ref="CI21:CJ21"/>
    <mergeCell ref="CK21:CL21"/>
    <mergeCell ref="CM21:CN21"/>
    <mergeCell ref="CO21:CP21"/>
    <mergeCell ref="CQ21:CR21"/>
    <mergeCell ref="CS21:CT21"/>
    <mergeCell ref="BW21:BX21"/>
    <mergeCell ref="BY21:BZ21"/>
    <mergeCell ref="CA21:CB21"/>
    <mergeCell ref="CC21:CD21"/>
    <mergeCell ref="CE21:CF21"/>
    <mergeCell ref="CG21:CH21"/>
    <mergeCell ref="DG21:DH21"/>
    <mergeCell ref="DI21:DJ21"/>
    <mergeCell ref="DK21:DL21"/>
    <mergeCell ref="DM21:DN21"/>
    <mergeCell ref="DO21:DP21"/>
    <mergeCell ref="DQ21:DR21"/>
    <mergeCell ref="CU21:CV21"/>
    <mergeCell ref="CW21:CX21"/>
    <mergeCell ref="CY21:CZ21"/>
    <mergeCell ref="DA21:DB21"/>
    <mergeCell ref="DC21:DD21"/>
    <mergeCell ref="DE21:DF21"/>
    <mergeCell ref="EE21:EF21"/>
    <mergeCell ref="EG21:EH21"/>
    <mergeCell ref="EI21:EJ21"/>
    <mergeCell ref="EK21:EL21"/>
    <mergeCell ref="EM21:EN21"/>
    <mergeCell ref="EO21:EP21"/>
    <mergeCell ref="DS21:DT21"/>
    <mergeCell ref="DU21:DV21"/>
    <mergeCell ref="DW21:DX21"/>
    <mergeCell ref="DY21:DZ21"/>
    <mergeCell ref="EA21:EB21"/>
    <mergeCell ref="EC21:ED21"/>
    <mergeCell ref="FC21:FD21"/>
    <mergeCell ref="FE21:FF21"/>
    <mergeCell ref="FG21:FH21"/>
    <mergeCell ref="FI21:FJ21"/>
    <mergeCell ref="FK21:FL21"/>
    <mergeCell ref="FM21:FN21"/>
    <mergeCell ref="EQ21:ER21"/>
    <mergeCell ref="ES21:ET21"/>
    <mergeCell ref="EU21:EV21"/>
    <mergeCell ref="EW21:EX21"/>
    <mergeCell ref="EY21:EZ21"/>
    <mergeCell ref="FA21:FB21"/>
    <mergeCell ref="GA21:GB21"/>
    <mergeCell ref="GC21:GD21"/>
    <mergeCell ref="GE21:GF21"/>
    <mergeCell ref="GG21:GH21"/>
    <mergeCell ref="GI21:GJ21"/>
    <mergeCell ref="GK21:GL21"/>
    <mergeCell ref="FO21:FP21"/>
    <mergeCell ref="FQ21:FR21"/>
    <mergeCell ref="FS21:FT21"/>
    <mergeCell ref="FU21:FV21"/>
    <mergeCell ref="FW21:FX21"/>
    <mergeCell ref="FY21:FZ21"/>
    <mergeCell ref="HE21:HF21"/>
    <mergeCell ref="HG21:HH21"/>
    <mergeCell ref="HI21:HJ21"/>
    <mergeCell ref="GM21:GN21"/>
    <mergeCell ref="GO21:GP21"/>
    <mergeCell ref="GQ21:GR21"/>
    <mergeCell ref="GS21:GT21"/>
    <mergeCell ref="GU21:GV21"/>
    <mergeCell ref="GW21:GX21"/>
    <mergeCell ref="IU21:IV21"/>
    <mergeCell ref="A22:B22"/>
    <mergeCell ref="J22:K22"/>
    <mergeCell ref="II21:IJ21"/>
    <mergeCell ref="IK21:IL21"/>
    <mergeCell ref="IM21:IN21"/>
    <mergeCell ref="IO21:IP21"/>
    <mergeCell ref="IQ21:IR21"/>
    <mergeCell ref="IS21:IT21"/>
    <mergeCell ref="HW21:HX21"/>
    <mergeCell ref="HY21:HZ21"/>
    <mergeCell ref="IA21:IB21"/>
    <mergeCell ref="IC21:ID21"/>
    <mergeCell ref="IE21:IF21"/>
    <mergeCell ref="IG21:IH21"/>
    <mergeCell ref="HK21:HL21"/>
    <mergeCell ref="HM21:HN21"/>
    <mergeCell ref="HO21:HP21"/>
    <mergeCell ref="HQ21:HR21"/>
    <mergeCell ref="HS21:HT21"/>
    <mergeCell ref="HU21:HV21"/>
    <mergeCell ref="GY21:GZ21"/>
    <mergeCell ref="HA21:HB21"/>
    <mergeCell ref="HC21:HD21"/>
  </mergeCells>
  <dataValidations count="4">
    <dataValidation allowBlank="1" showInputMessage="1" showErrorMessage="1" promptTitle="Figyelem!" sqref="C4:C6" xr:uid="{00000000-0002-0000-0300-000000000000}"/>
    <dataValidation type="whole" allowBlank="1" showInputMessage="1" showErrorMessage="1" error="A futamidőnek 60 hónap és 300 hónap közé kell esnie!" promptTitle="FIGYELEM!" prompt="Min. futamidő: 60 hónap._x000a__x000a_Kamattámogatás 25 évig (300 hónapig) vehető igénybe!_x000a__x000a_Max. futamidő:_x000a_300 hó" sqref="C3" xr:uid="{00000000-0002-0000-0300-000001000000}">
      <formula1>60</formula1>
      <formula2>300</formula2>
    </dataValidation>
    <dataValidation allowBlank="1" showErrorMessage="1" sqref="C9" xr:uid="{00000000-0002-0000-0300-000002000000}"/>
    <dataValidation type="list" allowBlank="1" prompt="_x000a_" sqref="G6" xr:uid="{00000000-0002-0000-0300-000003000000}">
      <formula1>$AB$2:$AB$6</formula1>
    </dataValidation>
  </dataValidations>
  <pageMargins left="0.19685039370078741" right="0.19685039370078741" top="0.98425196850393704" bottom="0.98425196850393704" header="0.51181102362204722" footer="0.51181102362204722"/>
  <pageSetup paperSize="9" scale="85" orientation="landscape" r:id="rId1"/>
  <headerFooter alignWithMargins="0"/>
  <rowBreaks count="1" manualBreakCount="1">
    <brk id="37"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4000000}">
          <x14:formula1>
            <xm:f>Munka1!$A$11:$A$12</xm:f>
          </x14:formula1>
          <xm:sqref>C1:H1</xm:sqref>
        </x14:dataValidation>
        <x14:dataValidation type="decimal" allowBlank="1" showInputMessage="1" showErrorMessage="1" errorTitle="Hiba!" error="A max. kölcsönösszeg:_x000a_- 2 gyermek esetén 10M Ft_x000a_- 3 gyermek esetén 15M Ft" promptTitle="Figyelem!" prompt="A max. kölcsönösszeg:_x000a_- 2 gyermek esetén 10M Ft_x000a_- 3 gyermek esetén 15M Ft" xr:uid="{00000000-0002-0000-0300-000005000000}">
          <x14:formula1>
            <xm:f>1000000</xm:f>
          </x14:formula1>
          <x14:formula2>
            <xm:f>Munka1!A17</xm:f>
          </x14:formula2>
          <xm:sqref>C2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10">
    <pageSetUpPr fitToPage="1"/>
  </sheetPr>
  <dimension ref="A1:IV325"/>
  <sheetViews>
    <sheetView showGridLines="0" zoomScale="90" zoomScaleNormal="90" zoomScaleSheetLayoutView="50" workbookViewId="0">
      <selection activeCell="I22" sqref="I22"/>
    </sheetView>
  </sheetViews>
  <sheetFormatPr defaultColWidth="9.109375" defaultRowHeight="13.8" x14ac:dyDescent="0.3"/>
  <cols>
    <col min="1" max="1" width="7.6640625" style="17" customWidth="1"/>
    <col min="2" max="2" width="19.5546875" style="17" customWidth="1"/>
    <col min="3" max="3" width="15.33203125" style="17" customWidth="1"/>
    <col min="4" max="4" width="20.109375" style="17" customWidth="1"/>
    <col min="5" max="5" width="16.6640625" style="17" customWidth="1"/>
    <col min="6" max="6" width="23.44140625" style="17" customWidth="1"/>
    <col min="7" max="7" width="19.33203125" style="17" customWidth="1"/>
    <col min="8" max="8" width="23.6640625" style="17" customWidth="1"/>
    <col min="9" max="9" width="19.44140625" style="17" customWidth="1"/>
    <col min="10" max="10" width="15.5546875" style="17" customWidth="1"/>
    <col min="11" max="11" width="14.88671875" style="17" customWidth="1"/>
    <col min="12" max="12" width="13.88671875" style="17"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22" t="s">
        <v>20</v>
      </c>
      <c r="B1" s="322"/>
      <c r="C1" s="341" t="s">
        <v>237</v>
      </c>
      <c r="D1" s="341"/>
      <c r="E1" s="341"/>
      <c r="F1" s="341"/>
      <c r="G1" s="341"/>
      <c r="H1" s="341"/>
      <c r="I1" s="17"/>
      <c r="J1" s="18"/>
      <c r="K1" s="124"/>
      <c r="M1" s="138" t="s">
        <v>125</v>
      </c>
      <c r="AB1" s="19" t="s">
        <v>83</v>
      </c>
    </row>
    <row r="2" spans="1:28" s="19" customFormat="1" ht="12.75" customHeight="1" x14ac:dyDescent="0.3">
      <c r="A2" s="323" t="s">
        <v>0</v>
      </c>
      <c r="B2" s="323"/>
      <c r="C2" s="114">
        <f>+Calc!C2</f>
        <v>10000000</v>
      </c>
      <c r="D2" s="322"/>
      <c r="E2" s="322"/>
      <c r="F2" s="150"/>
      <c r="G2" s="17"/>
      <c r="H2" s="17"/>
      <c r="I2" s="17"/>
      <c r="J2" s="21">
        <v>1</v>
      </c>
      <c r="AB2" s="19">
        <v>0</v>
      </c>
    </row>
    <row r="3" spans="1:28" s="19" customFormat="1" ht="12.75" customHeight="1" x14ac:dyDescent="0.3">
      <c r="A3" s="323" t="s">
        <v>25</v>
      </c>
      <c r="B3" s="323"/>
      <c r="C3" s="113">
        <f>+Calc!C3</f>
        <v>240</v>
      </c>
      <c r="E3" s="14" t="s">
        <v>11</v>
      </c>
      <c r="F3" s="22">
        <f>((IRR(I24:I324,0.01)+1)^12)-1</f>
        <v>3.1226375998649525E-2</v>
      </c>
      <c r="G3" s="277"/>
      <c r="H3" s="17"/>
      <c r="I3" s="17"/>
      <c r="J3" s="21">
        <v>3</v>
      </c>
      <c r="K3" s="21"/>
      <c r="AB3" s="19">
        <v>6</v>
      </c>
    </row>
    <row r="4" spans="1:28" s="19" customFormat="1" ht="26.25" customHeight="1" thickBot="1" x14ac:dyDescent="0.35">
      <c r="A4" s="334" t="s">
        <v>82</v>
      </c>
      <c r="B4" s="323"/>
      <c r="C4" s="1">
        <f>+Calc!C4</f>
        <v>0.03</v>
      </c>
      <c r="D4" s="115"/>
      <c r="E4" s="277"/>
      <c r="F4" s="277"/>
      <c r="G4" s="277"/>
      <c r="H4" s="17"/>
      <c r="I4" s="17"/>
      <c r="J4" s="21" t="s">
        <v>13</v>
      </c>
      <c r="K4" s="21"/>
      <c r="AB4" s="19">
        <v>12</v>
      </c>
    </row>
    <row r="5" spans="1:28" s="19" customFormat="1" ht="27.75" customHeight="1" x14ac:dyDescent="0.3">
      <c r="A5" s="334" t="s">
        <v>232</v>
      </c>
      <c r="B5" s="323"/>
      <c r="C5" s="1">
        <f>+Calc!C5</f>
        <v>4.7734999999999986E-2</v>
      </c>
      <c r="D5" s="277"/>
      <c r="G5" s="277"/>
      <c r="H5" s="335" t="s">
        <v>87</v>
      </c>
      <c r="I5" s="550"/>
      <c r="J5" s="30" t="s">
        <v>14</v>
      </c>
      <c r="K5" s="21"/>
      <c r="AB5" s="125">
        <v>18</v>
      </c>
    </row>
    <row r="6" spans="1:28" s="19" customFormat="1" ht="12.75" customHeight="1" x14ac:dyDescent="0.3">
      <c r="A6" s="323" t="s">
        <v>22</v>
      </c>
      <c r="B6" s="323"/>
      <c r="C6" s="280">
        <f>+Calc!C6</f>
        <v>0</v>
      </c>
      <c r="D6" s="277"/>
      <c r="E6" s="325" t="s">
        <v>231</v>
      </c>
      <c r="F6" s="326"/>
      <c r="G6" s="113">
        <v>0</v>
      </c>
      <c r="H6" s="337"/>
      <c r="I6" s="551"/>
      <c r="J6" s="31"/>
      <c r="K6" s="21"/>
      <c r="AB6" s="19">
        <v>24</v>
      </c>
    </row>
    <row r="7" spans="1:28" s="19" customFormat="1" ht="12.75" customHeight="1" x14ac:dyDescent="0.3">
      <c r="A7" s="324" t="s">
        <v>2</v>
      </c>
      <c r="B7" s="324"/>
      <c r="C7" s="3">
        <f>+Calc!C7</f>
        <v>0</v>
      </c>
      <c r="D7" s="277"/>
      <c r="E7" s="325" t="s">
        <v>233</v>
      </c>
      <c r="F7" s="326"/>
      <c r="G7" s="267">
        <f>+F25</f>
        <v>55460</v>
      </c>
      <c r="H7" s="337"/>
      <c r="I7" s="551"/>
      <c r="J7" s="32"/>
      <c r="K7" s="17"/>
    </row>
    <row r="8" spans="1:28" s="19" customFormat="1" ht="12.75" customHeight="1" x14ac:dyDescent="0.3">
      <c r="A8" s="324" t="s">
        <v>3</v>
      </c>
      <c r="B8" s="324"/>
      <c r="C8" s="4">
        <f>+Calc!C8</f>
        <v>0</v>
      </c>
      <c r="D8" s="277"/>
      <c r="E8" s="325" t="s">
        <v>234</v>
      </c>
      <c r="F8" s="326"/>
      <c r="G8" s="267">
        <f>+VLOOKUP(G6+1,A24:F324,6,0)</f>
        <v>55460</v>
      </c>
      <c r="H8" s="337"/>
      <c r="I8" s="551"/>
      <c r="J8" s="32"/>
      <c r="K8" s="17"/>
    </row>
    <row r="9" spans="1:28" s="19" customFormat="1" x14ac:dyDescent="0.3">
      <c r="A9" s="323" t="s">
        <v>21</v>
      </c>
      <c r="B9" s="323"/>
      <c r="C9" s="2">
        <f>+Calc!C9</f>
        <v>0</v>
      </c>
      <c r="D9" s="277"/>
      <c r="E9" s="23"/>
      <c r="F9" s="24"/>
      <c r="G9" s="17"/>
      <c r="H9" s="337"/>
      <c r="I9" s="551"/>
      <c r="J9" s="33"/>
      <c r="K9" s="17"/>
    </row>
    <row r="10" spans="1:28" s="19" customFormat="1" ht="12.75" customHeight="1" x14ac:dyDescent="0.3">
      <c r="A10" s="324" t="s">
        <v>2</v>
      </c>
      <c r="B10" s="324"/>
      <c r="C10" s="3">
        <f>+Calc!C10</f>
        <v>0</v>
      </c>
      <c r="D10" s="277"/>
      <c r="E10" s="325" t="s">
        <v>238</v>
      </c>
      <c r="F10" s="326"/>
      <c r="G10" s="272">
        <f>$G7+($C$2*0.0008366)</f>
        <v>63826</v>
      </c>
      <c r="H10" s="552"/>
      <c r="I10" s="551"/>
      <c r="J10" s="548" t="s">
        <v>37</v>
      </c>
      <c r="K10" s="331"/>
      <c r="L10" s="25"/>
      <c r="M10" s="20"/>
      <c r="N10" s="20"/>
      <c r="O10" s="20"/>
      <c r="P10" s="20"/>
      <c r="Q10" s="20"/>
      <c r="R10" s="20"/>
    </row>
    <row r="11" spans="1:28" s="19" customFormat="1" x14ac:dyDescent="0.3">
      <c r="A11" s="324" t="s">
        <v>3</v>
      </c>
      <c r="B11" s="324"/>
      <c r="C11" s="4">
        <f>+Calc!C11</f>
        <v>0</v>
      </c>
      <c r="D11" s="277"/>
      <c r="E11" s="278" t="s">
        <v>239</v>
      </c>
      <c r="F11" s="273"/>
      <c r="G11" s="272">
        <f>$G7+($C$2*0.0005082)</f>
        <v>60542</v>
      </c>
      <c r="H11" s="337"/>
      <c r="I11" s="551"/>
      <c r="J11" s="549"/>
      <c r="K11" s="333"/>
      <c r="L11" s="26"/>
      <c r="M11" s="20"/>
      <c r="N11" s="20"/>
      <c r="O11" s="20"/>
      <c r="P11" s="20"/>
      <c r="Q11" s="20"/>
      <c r="R11" s="20"/>
    </row>
    <row r="12" spans="1:28" s="19" customFormat="1" ht="14.4" thickBot="1" x14ac:dyDescent="0.35">
      <c r="A12" s="329" t="s">
        <v>19</v>
      </c>
      <c r="B12" s="329"/>
      <c r="C12" s="5">
        <f>+IF(C2*C9&lt;C10,C10,IF(OR(C11=0,C11="",C11=" "),C2*C9,IF(C2*C9&gt;C11,C11,C2*C9)))</f>
        <v>0</v>
      </c>
      <c r="D12" s="277"/>
      <c r="E12" s="278" t="s">
        <v>240</v>
      </c>
      <c r="F12" s="274"/>
      <c r="G12" s="276">
        <f>$G7+($C$2*0.0003738)</f>
        <v>59198</v>
      </c>
      <c r="H12" s="339"/>
      <c r="I12" s="553"/>
      <c r="J12" s="28" t="s">
        <v>41</v>
      </c>
      <c r="K12" s="34">
        <v>5.0000000000000001E-3</v>
      </c>
      <c r="L12" s="27">
        <f>$C$4+K12</f>
        <v>3.4999999999999996E-2</v>
      </c>
      <c r="M12" s="20"/>
      <c r="N12" s="20"/>
      <c r="O12" s="20"/>
      <c r="P12" s="20"/>
      <c r="Q12" s="20"/>
      <c r="R12" s="20"/>
    </row>
    <row r="13" spans="1:28" s="19" customFormat="1" x14ac:dyDescent="0.3">
      <c r="A13" s="323" t="s">
        <v>4</v>
      </c>
      <c r="B13" s="323"/>
      <c r="C13" s="6" t="s">
        <v>13</v>
      </c>
      <c r="D13" s="277"/>
      <c r="E13" s="17"/>
      <c r="F13" s="17"/>
      <c r="G13" s="17"/>
      <c r="H13" s="17"/>
      <c r="I13" s="17"/>
      <c r="J13" s="28" t="s">
        <v>40</v>
      </c>
      <c r="K13" s="34">
        <v>0.01</v>
      </c>
      <c r="L13" s="27">
        <f>$C$4+K13</f>
        <v>0.04</v>
      </c>
      <c r="M13" s="20"/>
      <c r="N13" s="20"/>
      <c r="O13" s="20"/>
      <c r="P13" s="20"/>
      <c r="Q13" s="20"/>
      <c r="R13" s="20"/>
    </row>
    <row r="14" spans="1:28" s="19" customFormat="1" x14ac:dyDescent="0.3">
      <c r="A14" s="323" t="s">
        <v>242</v>
      </c>
      <c r="B14" s="323"/>
      <c r="C14" s="280">
        <f>+Calc!C14</f>
        <v>0.01</v>
      </c>
      <c r="D14" s="17"/>
      <c r="I14" s="17"/>
      <c r="J14" s="128" t="s">
        <v>92</v>
      </c>
      <c r="K14" s="129">
        <f>L14</f>
        <v>3.5698868237755699E-2</v>
      </c>
      <c r="L14" s="27">
        <f>((IRR(J24:J324,0.01)+1)^12)-1</f>
        <v>3.5698868237755699E-2</v>
      </c>
      <c r="M14" s="20"/>
      <c r="N14" s="20"/>
      <c r="O14" s="20"/>
      <c r="P14" s="20"/>
      <c r="Q14" s="20"/>
      <c r="R14" s="20"/>
    </row>
    <row r="15" spans="1:28" s="19" customFormat="1" x14ac:dyDescent="0.3">
      <c r="A15" s="323" t="s">
        <v>24</v>
      </c>
      <c r="B15" s="323"/>
      <c r="C15" s="267">
        <f>+Calc!C15</f>
        <v>0</v>
      </c>
      <c r="D15" s="17"/>
      <c r="I15" s="17"/>
      <c r="J15" s="128" t="s">
        <v>93</v>
      </c>
      <c r="K15" s="129">
        <f>L15</f>
        <v>4.0863960770095353E-2</v>
      </c>
      <c r="L15" s="27">
        <f>((IRR(K24:K324,0.01)+1)^12)-1</f>
        <v>4.0863960770095353E-2</v>
      </c>
      <c r="M15" s="20"/>
      <c r="N15" s="20"/>
      <c r="O15" s="20"/>
      <c r="P15" s="20"/>
      <c r="Q15" s="20"/>
      <c r="R15" s="20"/>
    </row>
    <row r="16" spans="1:28" s="19" customFormat="1" x14ac:dyDescent="0.3">
      <c r="A16" s="323" t="s">
        <v>23</v>
      </c>
      <c r="B16" s="323"/>
      <c r="C16" s="267">
        <f>+Calc!C16</f>
        <v>0</v>
      </c>
      <c r="D16" s="17"/>
      <c r="I16" s="17"/>
      <c r="J16" s="17"/>
      <c r="K16" s="17"/>
      <c r="L16" s="20"/>
      <c r="M16" s="20"/>
      <c r="N16" s="20"/>
      <c r="O16" s="20"/>
      <c r="P16" s="20"/>
      <c r="Q16" s="20"/>
      <c r="R16" s="20"/>
    </row>
    <row r="17" spans="1:256" s="19" customFormat="1" x14ac:dyDescent="0.3">
      <c r="A17" s="323" t="s">
        <v>84</v>
      </c>
      <c r="B17" s="323"/>
      <c r="C17" s="114">
        <f>+Calc!C17</f>
        <v>325</v>
      </c>
      <c r="D17" s="277"/>
      <c r="E17" s="17"/>
      <c r="F17" s="17"/>
      <c r="G17" s="17"/>
      <c r="I17" s="17"/>
      <c r="J17" s="17"/>
      <c r="K17" s="17"/>
      <c r="L17" s="20"/>
      <c r="M17" s="20"/>
      <c r="N17" s="20"/>
      <c r="O17" s="20"/>
      <c r="P17" s="20"/>
      <c r="Q17" s="20"/>
      <c r="R17" s="20"/>
    </row>
    <row r="18" spans="1:256" s="19" customFormat="1" x14ac:dyDescent="0.3">
      <c r="A18" s="323" t="s">
        <v>72</v>
      </c>
      <c r="B18" s="323"/>
      <c r="C18" s="114">
        <f>+Calc!C18</f>
        <v>12600</v>
      </c>
      <c r="D18" s="277"/>
      <c r="E18" s="17"/>
      <c r="F18" s="17"/>
      <c r="G18" s="17"/>
      <c r="H18" s="17"/>
      <c r="I18" s="17"/>
      <c r="J18" s="17"/>
      <c r="K18" s="17"/>
      <c r="L18" s="20"/>
      <c r="M18" s="20"/>
      <c r="N18" s="20"/>
      <c r="O18" s="20"/>
      <c r="P18" s="20"/>
      <c r="Q18" s="20"/>
      <c r="R18" s="20"/>
    </row>
    <row r="19" spans="1:256" s="19" customFormat="1" x14ac:dyDescent="0.3">
      <c r="A19" s="323" t="s">
        <v>245</v>
      </c>
      <c r="B19" s="323"/>
      <c r="C19" s="267">
        <f>+Calc!C19</f>
        <v>0</v>
      </c>
      <c r="D19" s="290"/>
      <c r="E19" s="17"/>
      <c r="F19" s="17"/>
      <c r="G19" s="17"/>
      <c r="H19" s="17"/>
      <c r="I19" s="17"/>
      <c r="J19" s="17"/>
      <c r="K19" s="17"/>
      <c r="L19" s="20"/>
      <c r="M19" s="20"/>
      <c r="N19" s="20"/>
      <c r="O19" s="20"/>
      <c r="P19" s="20"/>
      <c r="Q19" s="20"/>
      <c r="R19" s="20"/>
    </row>
    <row r="20" spans="1:256" s="19" customFormat="1" x14ac:dyDescent="0.3">
      <c r="A20" s="323" t="s">
        <v>246</v>
      </c>
      <c r="B20" s="323"/>
      <c r="C20" s="267">
        <f>+Calc!C20</f>
        <v>0</v>
      </c>
      <c r="D20" s="290"/>
      <c r="E20" s="17"/>
      <c r="F20" s="17"/>
      <c r="G20" s="17"/>
      <c r="H20" s="17"/>
      <c r="I20" s="17"/>
      <c r="J20" s="17"/>
      <c r="K20" s="17"/>
      <c r="L20" s="20"/>
      <c r="M20" s="20"/>
      <c r="N20" s="20"/>
      <c r="O20" s="20"/>
      <c r="P20" s="20"/>
      <c r="Q20" s="20"/>
      <c r="R20" s="20"/>
    </row>
    <row r="21" spans="1:256" x14ac:dyDescent="0.3">
      <c r="A21" s="323" t="s">
        <v>151</v>
      </c>
      <c r="B21" s="323"/>
      <c r="C21" s="271">
        <f>+Calc!C21</f>
        <v>13400924</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c r="IR21" s="322"/>
      <c r="IS21" s="322"/>
      <c r="IT21" s="322"/>
      <c r="IU21" s="322"/>
      <c r="IV21" s="322"/>
    </row>
    <row r="22" spans="1:256" ht="15.6" x14ac:dyDescent="0.3">
      <c r="A22" s="323" t="s">
        <v>152</v>
      </c>
      <c r="B22" s="323"/>
      <c r="C22" s="271">
        <f>+Calc!C22</f>
        <v>3400924</v>
      </c>
      <c r="J22" s="327" t="s">
        <v>36</v>
      </c>
      <c r="K22" s="328"/>
      <c r="L22" s="7">
        <v>11</v>
      </c>
      <c r="M22" s="7">
        <v>12</v>
      </c>
      <c r="N22" s="7">
        <v>13</v>
      </c>
      <c r="O22" s="7">
        <v>14</v>
      </c>
      <c r="P22" s="7">
        <v>15</v>
      </c>
      <c r="Q22" s="7">
        <v>16</v>
      </c>
      <c r="R22" s="7">
        <v>17</v>
      </c>
      <c r="S22" s="17">
        <v>18</v>
      </c>
    </row>
    <row r="23" spans="1:256" ht="39" customHeight="1" x14ac:dyDescent="0.3">
      <c r="A23" s="8" t="s">
        <v>5</v>
      </c>
      <c r="B23" s="9" t="s">
        <v>6</v>
      </c>
      <c r="C23" s="8" t="s">
        <v>7</v>
      </c>
      <c r="D23" s="10" t="s">
        <v>28</v>
      </c>
      <c r="E23" s="11" t="s">
        <v>86</v>
      </c>
      <c r="F23" s="8" t="s">
        <v>8</v>
      </c>
      <c r="G23" s="10" t="s">
        <v>242</v>
      </c>
      <c r="H23" s="12" t="s">
        <v>243</v>
      </c>
      <c r="I23" s="13" t="s">
        <v>73</v>
      </c>
      <c r="J23" s="118" t="s">
        <v>38</v>
      </c>
      <c r="K23" s="118" t="s">
        <v>39</v>
      </c>
      <c r="L23" s="8" t="s">
        <v>7</v>
      </c>
      <c r="M23" s="10" t="s">
        <v>28</v>
      </c>
      <c r="N23" s="11" t="s">
        <v>27</v>
      </c>
      <c r="O23" s="8" t="s">
        <v>8</v>
      </c>
      <c r="P23" s="9" t="s">
        <v>1</v>
      </c>
      <c r="Q23" s="12" t="s">
        <v>9</v>
      </c>
      <c r="R23" s="12" t="s">
        <v>38</v>
      </c>
      <c r="S23" s="112" t="s">
        <v>39</v>
      </c>
    </row>
    <row r="24" spans="1:256" x14ac:dyDescent="0.3">
      <c r="A24" s="109">
        <v>0</v>
      </c>
      <c r="B24" s="58">
        <f>C2</f>
        <v>10000000</v>
      </c>
      <c r="C24" s="149"/>
      <c r="D24" s="7"/>
      <c r="E24" s="149"/>
      <c r="F24" s="149"/>
      <c r="G24" s="110"/>
      <c r="H24" s="299">
        <f>-B24+IF(C2*C9&lt;C10,C10,IF(OR(C11=0,C11="",C11=" "),C2*C9,IF(C2*C9&gt;C11,C11,C2*C9)))+C15+C16</f>
        <v>-10000000</v>
      </c>
      <c r="I24" s="299">
        <f>-C2+C18+C16+C15+C12+C19+C20</f>
        <v>-9987400</v>
      </c>
      <c r="J24" s="121">
        <f>-C2+C15+C16+C18+C12+C19+C20</f>
        <v>-9987400</v>
      </c>
      <c r="K24" s="122">
        <f>-C2+C15+C16+C18+C12+C19+C20</f>
        <v>-9987400</v>
      </c>
      <c r="L24" s="110"/>
      <c r="M24" s="110"/>
      <c r="N24" s="110"/>
      <c r="O24" s="110"/>
      <c r="P24" s="110"/>
      <c r="Q24" s="110"/>
      <c r="R24" s="110"/>
    </row>
    <row r="25" spans="1:256" x14ac:dyDescent="0.3">
      <c r="A25" s="111">
        <v>1</v>
      </c>
      <c r="B25" s="58">
        <f>+B24-C25</f>
        <v>9969540</v>
      </c>
      <c r="C25" s="116">
        <f>+F25-D25</f>
        <v>30460</v>
      </c>
      <c r="D25" s="117">
        <f>ROUND(IF(A25&gt;$G$6,B24*$C$4*30/360,0),0)</f>
        <v>25000</v>
      </c>
      <c r="E25" s="116">
        <f t="shared" ref="E25:E36" si="0">IF(A25&gt;$C$3,0,$B$24*($C$5/12))</f>
        <v>39779.16666666665</v>
      </c>
      <c r="F25" s="116">
        <f t="shared" ref="F25:F88" si="1">ROUND(IF(A25&gt;$G$6,(IF(A25&gt;=$C$3,B24+D25,PMT($C$4/12,$C$3-$G$6,-$B$24))),D25),0)</f>
        <v>55460</v>
      </c>
      <c r="G25" s="117">
        <v>0</v>
      </c>
      <c r="H25" s="116">
        <f>F25+G25</f>
        <v>55460</v>
      </c>
      <c r="I25" s="116">
        <f t="shared" ref="I25:I88" si="2">IF(A25&lt;=$C$3,H25+$C$17,0)</f>
        <v>55785</v>
      </c>
      <c r="J25" s="119">
        <f t="shared" ref="J25:J88" si="3">ROUND(IF(A25&gt;$G$6,(IF(A25&gt;=$C$3,B24+D25,PMT($L$12/12,$C$3-$G$6,-$B$24))),D25),0)</f>
        <v>57996</v>
      </c>
      <c r="K25" s="119">
        <f t="shared" ref="K25:K88" si="4">ROUND(IF(A25&gt;$G$6,(IF(A25&gt;=$C$3,B24+D25,PMT($L$13/12,$C$3-$G$6,-$B$24))),D25),0)</f>
        <v>60598</v>
      </c>
      <c r="L25" s="110"/>
      <c r="M25" s="110"/>
      <c r="N25" s="110"/>
      <c r="O25" s="110"/>
      <c r="P25" s="110"/>
      <c r="Q25" s="110"/>
      <c r="R25" s="110"/>
    </row>
    <row r="26" spans="1:256" x14ac:dyDescent="0.3">
      <c r="A26" s="109">
        <v>2</v>
      </c>
      <c r="B26" s="58">
        <f t="shared" ref="B26:B89" si="5">B25-C26</f>
        <v>9939004</v>
      </c>
      <c r="C26" s="116">
        <f t="shared" ref="C26:C89" si="6">+F26-D26</f>
        <v>30536</v>
      </c>
      <c r="D26" s="117">
        <f t="shared" ref="D26:D89" si="7">ROUND(IF(A26&gt;$G$6,B25*$C$4*30/360,0),0)</f>
        <v>24924</v>
      </c>
      <c r="E26" s="116">
        <f t="shared" si="0"/>
        <v>39779.16666666665</v>
      </c>
      <c r="F26" s="116">
        <f t="shared" si="1"/>
        <v>55460</v>
      </c>
      <c r="G26" s="117">
        <v>0</v>
      </c>
      <c r="H26" s="116">
        <f>F26+G26</f>
        <v>55460</v>
      </c>
      <c r="I26" s="116">
        <f t="shared" si="2"/>
        <v>55785</v>
      </c>
      <c r="J26" s="119">
        <f t="shared" si="3"/>
        <v>57996</v>
      </c>
      <c r="K26" s="119">
        <f t="shared" si="4"/>
        <v>60598</v>
      </c>
      <c r="L26" s="110"/>
      <c r="M26" s="110"/>
      <c r="N26" s="110"/>
      <c r="O26" s="110"/>
      <c r="P26" s="110"/>
      <c r="Q26" s="110"/>
      <c r="R26" s="110"/>
    </row>
    <row r="27" spans="1:256" x14ac:dyDescent="0.3">
      <c r="A27" s="109">
        <v>3</v>
      </c>
      <c r="B27" s="58">
        <f t="shared" si="5"/>
        <v>9908392</v>
      </c>
      <c r="C27" s="116">
        <f t="shared" si="6"/>
        <v>30612</v>
      </c>
      <c r="D27" s="117">
        <f t="shared" si="7"/>
        <v>24848</v>
      </c>
      <c r="E27" s="116">
        <f t="shared" si="0"/>
        <v>39779.16666666665</v>
      </c>
      <c r="F27" s="116">
        <f t="shared" si="1"/>
        <v>55460</v>
      </c>
      <c r="G27" s="117">
        <v>0</v>
      </c>
      <c r="H27" s="116">
        <f t="shared" ref="H27:H90" si="8">F27+G27</f>
        <v>55460</v>
      </c>
      <c r="I27" s="116">
        <f t="shared" si="2"/>
        <v>55785</v>
      </c>
      <c r="J27" s="119">
        <f t="shared" si="3"/>
        <v>57996</v>
      </c>
      <c r="K27" s="119">
        <f t="shared" si="4"/>
        <v>60598</v>
      </c>
      <c r="L27" s="110"/>
      <c r="M27" s="110"/>
      <c r="N27" s="110"/>
      <c r="O27" s="110"/>
      <c r="P27" s="110"/>
      <c r="Q27" s="110"/>
      <c r="R27" s="110"/>
    </row>
    <row r="28" spans="1:256" x14ac:dyDescent="0.3">
      <c r="A28" s="109">
        <v>4</v>
      </c>
      <c r="B28" s="58">
        <f t="shared" si="5"/>
        <v>9877703</v>
      </c>
      <c r="C28" s="116">
        <f t="shared" si="6"/>
        <v>30689</v>
      </c>
      <c r="D28" s="117">
        <f t="shared" si="7"/>
        <v>24771</v>
      </c>
      <c r="E28" s="116">
        <f t="shared" si="0"/>
        <v>39779.16666666665</v>
      </c>
      <c r="F28" s="116">
        <f t="shared" si="1"/>
        <v>55460</v>
      </c>
      <c r="G28" s="117">
        <v>0</v>
      </c>
      <c r="H28" s="116">
        <f t="shared" si="8"/>
        <v>55460</v>
      </c>
      <c r="I28" s="116">
        <f t="shared" si="2"/>
        <v>55785</v>
      </c>
      <c r="J28" s="119">
        <f t="shared" si="3"/>
        <v>57996</v>
      </c>
      <c r="K28" s="119">
        <f t="shared" si="4"/>
        <v>60598</v>
      </c>
      <c r="L28" s="110"/>
      <c r="M28" s="110"/>
      <c r="N28" s="110"/>
      <c r="O28" s="110"/>
      <c r="P28" s="110"/>
      <c r="Q28" s="110"/>
      <c r="R28" s="110"/>
    </row>
    <row r="29" spans="1:256" x14ac:dyDescent="0.3">
      <c r="A29" s="109">
        <v>5</v>
      </c>
      <c r="B29" s="58">
        <f t="shared" si="5"/>
        <v>9846937</v>
      </c>
      <c r="C29" s="116">
        <f t="shared" si="6"/>
        <v>30766</v>
      </c>
      <c r="D29" s="117">
        <f t="shared" si="7"/>
        <v>24694</v>
      </c>
      <c r="E29" s="116">
        <f t="shared" si="0"/>
        <v>39779.16666666665</v>
      </c>
      <c r="F29" s="116">
        <f t="shared" si="1"/>
        <v>55460</v>
      </c>
      <c r="G29" s="117">
        <v>0</v>
      </c>
      <c r="H29" s="116">
        <f t="shared" si="8"/>
        <v>55460</v>
      </c>
      <c r="I29" s="116">
        <f t="shared" si="2"/>
        <v>55785</v>
      </c>
      <c r="J29" s="119">
        <f t="shared" si="3"/>
        <v>57996</v>
      </c>
      <c r="K29" s="119">
        <f t="shared" si="4"/>
        <v>60598</v>
      </c>
      <c r="L29" s="110"/>
      <c r="M29" s="110"/>
      <c r="N29" s="110"/>
      <c r="O29" s="110"/>
      <c r="P29" s="110"/>
      <c r="Q29" s="110"/>
      <c r="R29" s="110"/>
    </row>
    <row r="30" spans="1:256" x14ac:dyDescent="0.3">
      <c r="A30" s="109">
        <v>6</v>
      </c>
      <c r="B30" s="58">
        <f t="shared" si="5"/>
        <v>9816094</v>
      </c>
      <c r="C30" s="116">
        <f t="shared" si="6"/>
        <v>30843</v>
      </c>
      <c r="D30" s="117">
        <f t="shared" si="7"/>
        <v>24617</v>
      </c>
      <c r="E30" s="116">
        <f t="shared" si="0"/>
        <v>39779.16666666665</v>
      </c>
      <c r="F30" s="116">
        <f t="shared" si="1"/>
        <v>55460</v>
      </c>
      <c r="G30" s="117">
        <v>0</v>
      </c>
      <c r="H30" s="116">
        <f t="shared" si="8"/>
        <v>55460</v>
      </c>
      <c r="I30" s="116">
        <f t="shared" si="2"/>
        <v>55785</v>
      </c>
      <c r="J30" s="119">
        <f t="shared" si="3"/>
        <v>57996</v>
      </c>
      <c r="K30" s="119">
        <f t="shared" si="4"/>
        <v>60598</v>
      </c>
      <c r="L30" s="110"/>
      <c r="M30" s="110"/>
      <c r="N30" s="110"/>
      <c r="O30" s="110"/>
      <c r="P30" s="110"/>
      <c r="Q30" s="110"/>
      <c r="R30" s="110"/>
    </row>
    <row r="31" spans="1:256" x14ac:dyDescent="0.3">
      <c r="A31" s="109">
        <v>7</v>
      </c>
      <c r="B31" s="58">
        <f t="shared" si="5"/>
        <v>9785174</v>
      </c>
      <c r="C31" s="116">
        <f t="shared" si="6"/>
        <v>30920</v>
      </c>
      <c r="D31" s="117">
        <f t="shared" si="7"/>
        <v>24540</v>
      </c>
      <c r="E31" s="116">
        <f t="shared" si="0"/>
        <v>39779.16666666665</v>
      </c>
      <c r="F31" s="116">
        <f t="shared" si="1"/>
        <v>55460</v>
      </c>
      <c r="G31" s="117">
        <v>0</v>
      </c>
      <c r="H31" s="116">
        <f t="shared" si="8"/>
        <v>55460</v>
      </c>
      <c r="I31" s="116">
        <f t="shared" si="2"/>
        <v>55785</v>
      </c>
      <c r="J31" s="119">
        <f t="shared" si="3"/>
        <v>57996</v>
      </c>
      <c r="K31" s="119">
        <f t="shared" si="4"/>
        <v>60598</v>
      </c>
      <c r="L31" s="110"/>
      <c r="M31" s="110"/>
      <c r="N31" s="110"/>
      <c r="O31" s="110"/>
      <c r="P31" s="110"/>
      <c r="Q31" s="110"/>
      <c r="R31" s="110"/>
    </row>
    <row r="32" spans="1:256" x14ac:dyDescent="0.3">
      <c r="A32" s="109">
        <v>8</v>
      </c>
      <c r="B32" s="58">
        <f t="shared" si="5"/>
        <v>9754177</v>
      </c>
      <c r="C32" s="116">
        <f t="shared" si="6"/>
        <v>30997</v>
      </c>
      <c r="D32" s="117">
        <f t="shared" si="7"/>
        <v>24463</v>
      </c>
      <c r="E32" s="116">
        <f t="shared" si="0"/>
        <v>39779.16666666665</v>
      </c>
      <c r="F32" s="116">
        <f t="shared" si="1"/>
        <v>55460</v>
      </c>
      <c r="G32" s="117">
        <v>0</v>
      </c>
      <c r="H32" s="116">
        <f t="shared" si="8"/>
        <v>55460</v>
      </c>
      <c r="I32" s="116">
        <f t="shared" si="2"/>
        <v>55785</v>
      </c>
      <c r="J32" s="119">
        <f t="shared" si="3"/>
        <v>57996</v>
      </c>
      <c r="K32" s="119">
        <f t="shared" si="4"/>
        <v>60598</v>
      </c>
      <c r="L32" s="110"/>
      <c r="M32" s="110"/>
      <c r="N32" s="110"/>
      <c r="O32" s="110"/>
      <c r="P32" s="110"/>
      <c r="Q32" s="110"/>
      <c r="R32" s="110"/>
    </row>
    <row r="33" spans="1:23" x14ac:dyDescent="0.3">
      <c r="A33" s="109">
        <v>9</v>
      </c>
      <c r="B33" s="58">
        <f t="shared" si="5"/>
        <v>9723102</v>
      </c>
      <c r="C33" s="116">
        <f t="shared" si="6"/>
        <v>31075</v>
      </c>
      <c r="D33" s="117">
        <f t="shared" si="7"/>
        <v>24385</v>
      </c>
      <c r="E33" s="116">
        <f t="shared" si="0"/>
        <v>39779.16666666665</v>
      </c>
      <c r="F33" s="116">
        <f t="shared" si="1"/>
        <v>55460</v>
      </c>
      <c r="G33" s="117">
        <v>0</v>
      </c>
      <c r="H33" s="116">
        <f t="shared" si="8"/>
        <v>55460</v>
      </c>
      <c r="I33" s="116">
        <f t="shared" si="2"/>
        <v>55785</v>
      </c>
      <c r="J33" s="119">
        <f t="shared" si="3"/>
        <v>57996</v>
      </c>
      <c r="K33" s="119">
        <f t="shared" si="4"/>
        <v>60598</v>
      </c>
      <c r="L33" s="110"/>
      <c r="M33" s="110"/>
      <c r="N33" s="110"/>
      <c r="O33" s="110"/>
      <c r="P33" s="110"/>
      <c r="Q33" s="110"/>
      <c r="R33" s="110"/>
    </row>
    <row r="34" spans="1:23" x14ac:dyDescent="0.3">
      <c r="A34" s="109">
        <v>10</v>
      </c>
      <c r="B34" s="58">
        <f t="shared" si="5"/>
        <v>9691950</v>
      </c>
      <c r="C34" s="116">
        <f t="shared" si="6"/>
        <v>31152</v>
      </c>
      <c r="D34" s="117">
        <f t="shared" si="7"/>
        <v>24308</v>
      </c>
      <c r="E34" s="116">
        <f t="shared" si="0"/>
        <v>39779.16666666665</v>
      </c>
      <c r="F34" s="116">
        <f t="shared" si="1"/>
        <v>55460</v>
      </c>
      <c r="G34" s="117">
        <v>0</v>
      </c>
      <c r="H34" s="116">
        <f t="shared" si="8"/>
        <v>55460</v>
      </c>
      <c r="I34" s="116">
        <f t="shared" si="2"/>
        <v>55785</v>
      </c>
      <c r="J34" s="119">
        <f t="shared" si="3"/>
        <v>57996</v>
      </c>
      <c r="K34" s="119">
        <f t="shared" si="4"/>
        <v>60598</v>
      </c>
      <c r="L34" s="110"/>
      <c r="M34" s="110"/>
      <c r="N34" s="110"/>
      <c r="O34" s="110"/>
      <c r="P34" s="110"/>
      <c r="Q34" s="110"/>
      <c r="R34" s="110"/>
    </row>
    <row r="35" spans="1:23" x14ac:dyDescent="0.3">
      <c r="A35" s="109">
        <v>11</v>
      </c>
      <c r="B35" s="58">
        <f t="shared" si="5"/>
        <v>9660720</v>
      </c>
      <c r="C35" s="116">
        <f t="shared" si="6"/>
        <v>31230</v>
      </c>
      <c r="D35" s="117">
        <f t="shared" si="7"/>
        <v>24230</v>
      </c>
      <c r="E35" s="116">
        <f t="shared" si="0"/>
        <v>39779.16666666665</v>
      </c>
      <c r="F35" s="116">
        <f t="shared" si="1"/>
        <v>55460</v>
      </c>
      <c r="G35" s="117">
        <v>0</v>
      </c>
      <c r="H35" s="116">
        <f t="shared" si="8"/>
        <v>55460</v>
      </c>
      <c r="I35" s="116">
        <f t="shared" si="2"/>
        <v>55785</v>
      </c>
      <c r="J35" s="119">
        <f t="shared" si="3"/>
        <v>57996</v>
      </c>
      <c r="K35" s="119">
        <f t="shared" si="4"/>
        <v>60598</v>
      </c>
      <c r="L35" s="110"/>
      <c r="M35" s="110"/>
      <c r="N35" s="110"/>
      <c r="O35" s="110"/>
      <c r="P35" s="110"/>
      <c r="Q35" s="110"/>
      <c r="R35" s="110"/>
    </row>
    <row r="36" spans="1:23" x14ac:dyDescent="0.3">
      <c r="A36" s="109">
        <v>12</v>
      </c>
      <c r="B36" s="58">
        <f t="shared" si="5"/>
        <v>9629412</v>
      </c>
      <c r="C36" s="116">
        <f t="shared" si="6"/>
        <v>31308</v>
      </c>
      <c r="D36" s="117">
        <f t="shared" si="7"/>
        <v>24152</v>
      </c>
      <c r="E36" s="116">
        <f t="shared" si="0"/>
        <v>39779.16666666665</v>
      </c>
      <c r="F36" s="116">
        <f t="shared" si="1"/>
        <v>55460</v>
      </c>
      <c r="G36" s="117">
        <v>0</v>
      </c>
      <c r="H36" s="116">
        <f t="shared" si="8"/>
        <v>55460</v>
      </c>
      <c r="I36" s="116">
        <f t="shared" si="2"/>
        <v>55785</v>
      </c>
      <c r="J36" s="119">
        <f t="shared" si="3"/>
        <v>57996</v>
      </c>
      <c r="K36" s="119">
        <f t="shared" si="4"/>
        <v>60598</v>
      </c>
      <c r="L36" s="58">
        <f t="shared" ref="L36:Q36" si="9">SUM(C25:C36)</f>
        <v>370588</v>
      </c>
      <c r="M36" s="58">
        <f t="shared" si="9"/>
        <v>294932</v>
      </c>
      <c r="N36" s="58">
        <f t="shared" si="9"/>
        <v>477349.99999999971</v>
      </c>
      <c r="O36" s="58">
        <f t="shared" si="9"/>
        <v>665520</v>
      </c>
      <c r="P36" s="58">
        <f t="shared" si="9"/>
        <v>0</v>
      </c>
      <c r="Q36" s="58">
        <f t="shared" si="9"/>
        <v>665520</v>
      </c>
      <c r="R36" s="58">
        <f>SUM(J25:J36)</f>
        <v>695952</v>
      </c>
      <c r="S36" s="29">
        <f>SUM(K25:K36)</f>
        <v>727176</v>
      </c>
      <c r="T36" s="29"/>
      <c r="U36" s="29"/>
      <c r="V36" s="29"/>
      <c r="W36" s="29"/>
    </row>
    <row r="37" spans="1:23" x14ac:dyDescent="0.3">
      <c r="A37" s="109">
        <v>13</v>
      </c>
      <c r="B37" s="58">
        <f t="shared" si="5"/>
        <v>9598026</v>
      </c>
      <c r="C37" s="116">
        <f t="shared" si="6"/>
        <v>31386</v>
      </c>
      <c r="D37" s="117">
        <f t="shared" si="7"/>
        <v>24074</v>
      </c>
      <c r="E37" s="116">
        <f t="shared" ref="E37:E48" si="10">IF(A37&gt;$C$3,0,$B$36*($C$5/12))</f>
        <v>38304.998484999989</v>
      </c>
      <c r="F37" s="116">
        <f t="shared" si="1"/>
        <v>55460</v>
      </c>
      <c r="G37" s="117">
        <v>0</v>
      </c>
      <c r="H37" s="116">
        <f t="shared" si="8"/>
        <v>55460</v>
      </c>
      <c r="I37" s="116">
        <f t="shared" si="2"/>
        <v>55785</v>
      </c>
      <c r="J37" s="119">
        <f t="shared" si="3"/>
        <v>57996</v>
      </c>
      <c r="K37" s="119">
        <f t="shared" si="4"/>
        <v>60598</v>
      </c>
      <c r="L37" s="110"/>
      <c r="M37" s="110"/>
      <c r="N37" s="110"/>
      <c r="O37" s="110"/>
      <c r="P37" s="110"/>
      <c r="Q37" s="110"/>
      <c r="R37" s="110"/>
    </row>
    <row r="38" spans="1:23" x14ac:dyDescent="0.3">
      <c r="A38" s="109">
        <v>14</v>
      </c>
      <c r="B38" s="58">
        <f t="shared" si="5"/>
        <v>9566561</v>
      </c>
      <c r="C38" s="116">
        <f t="shared" si="6"/>
        <v>31465</v>
      </c>
      <c r="D38" s="117">
        <f t="shared" si="7"/>
        <v>23995</v>
      </c>
      <c r="E38" s="116">
        <f t="shared" si="10"/>
        <v>38304.998484999989</v>
      </c>
      <c r="F38" s="116">
        <f t="shared" si="1"/>
        <v>55460</v>
      </c>
      <c r="G38" s="117">
        <v>0</v>
      </c>
      <c r="H38" s="116">
        <f t="shared" si="8"/>
        <v>55460</v>
      </c>
      <c r="I38" s="116">
        <f t="shared" si="2"/>
        <v>55785</v>
      </c>
      <c r="J38" s="119">
        <f t="shared" si="3"/>
        <v>57996</v>
      </c>
      <c r="K38" s="119">
        <f t="shared" si="4"/>
        <v>60598</v>
      </c>
      <c r="L38" s="110"/>
      <c r="M38" s="110"/>
      <c r="N38" s="110"/>
      <c r="O38" s="110"/>
      <c r="P38" s="110"/>
      <c r="Q38" s="110"/>
      <c r="R38" s="110"/>
    </row>
    <row r="39" spans="1:23" x14ac:dyDescent="0.3">
      <c r="A39" s="109">
        <v>15</v>
      </c>
      <c r="B39" s="58">
        <f t="shared" si="5"/>
        <v>9535017</v>
      </c>
      <c r="C39" s="116">
        <f t="shared" si="6"/>
        <v>31544</v>
      </c>
      <c r="D39" s="117">
        <f t="shared" si="7"/>
        <v>23916</v>
      </c>
      <c r="E39" s="116">
        <f t="shared" si="10"/>
        <v>38304.998484999989</v>
      </c>
      <c r="F39" s="116">
        <f t="shared" si="1"/>
        <v>55460</v>
      </c>
      <c r="G39" s="117">
        <v>0</v>
      </c>
      <c r="H39" s="116">
        <f t="shared" si="8"/>
        <v>55460</v>
      </c>
      <c r="I39" s="116">
        <f t="shared" si="2"/>
        <v>55785</v>
      </c>
      <c r="J39" s="119">
        <f t="shared" si="3"/>
        <v>57996</v>
      </c>
      <c r="K39" s="119">
        <f t="shared" si="4"/>
        <v>60598</v>
      </c>
      <c r="L39" s="110"/>
      <c r="M39" s="110"/>
      <c r="N39" s="110"/>
      <c r="O39" s="110"/>
      <c r="P39" s="110"/>
      <c r="Q39" s="110"/>
      <c r="R39" s="110"/>
    </row>
    <row r="40" spans="1:23" x14ac:dyDescent="0.3">
      <c r="A40" s="109">
        <v>16</v>
      </c>
      <c r="B40" s="58">
        <f t="shared" si="5"/>
        <v>9503395</v>
      </c>
      <c r="C40" s="116">
        <f t="shared" si="6"/>
        <v>31622</v>
      </c>
      <c r="D40" s="117">
        <f t="shared" si="7"/>
        <v>23838</v>
      </c>
      <c r="E40" s="116">
        <f t="shared" si="10"/>
        <v>38304.998484999989</v>
      </c>
      <c r="F40" s="116">
        <f t="shared" si="1"/>
        <v>55460</v>
      </c>
      <c r="G40" s="117">
        <v>0</v>
      </c>
      <c r="H40" s="116">
        <f t="shared" si="8"/>
        <v>55460</v>
      </c>
      <c r="I40" s="116">
        <f t="shared" si="2"/>
        <v>55785</v>
      </c>
      <c r="J40" s="119">
        <f t="shared" si="3"/>
        <v>57996</v>
      </c>
      <c r="K40" s="119">
        <f t="shared" si="4"/>
        <v>60598</v>
      </c>
      <c r="L40" s="110"/>
      <c r="M40" s="110"/>
      <c r="N40" s="110"/>
      <c r="O40" s="110"/>
      <c r="P40" s="110"/>
      <c r="Q40" s="110"/>
      <c r="R40" s="110"/>
    </row>
    <row r="41" spans="1:23" x14ac:dyDescent="0.3">
      <c r="A41" s="109">
        <v>17</v>
      </c>
      <c r="B41" s="58">
        <f t="shared" si="5"/>
        <v>9471693</v>
      </c>
      <c r="C41" s="116">
        <f t="shared" si="6"/>
        <v>31702</v>
      </c>
      <c r="D41" s="117">
        <f t="shared" si="7"/>
        <v>23758</v>
      </c>
      <c r="E41" s="116">
        <f t="shared" si="10"/>
        <v>38304.998484999989</v>
      </c>
      <c r="F41" s="116">
        <f t="shared" si="1"/>
        <v>55460</v>
      </c>
      <c r="G41" s="117">
        <v>0</v>
      </c>
      <c r="H41" s="116">
        <f t="shared" si="8"/>
        <v>55460</v>
      </c>
      <c r="I41" s="116">
        <f t="shared" si="2"/>
        <v>55785</v>
      </c>
      <c r="J41" s="119">
        <f t="shared" si="3"/>
        <v>57996</v>
      </c>
      <c r="K41" s="119">
        <f t="shared" si="4"/>
        <v>60598</v>
      </c>
      <c r="L41" s="110"/>
      <c r="M41" s="110"/>
      <c r="N41" s="110"/>
      <c r="O41" s="110"/>
      <c r="P41" s="110"/>
      <c r="Q41" s="110"/>
      <c r="R41" s="110"/>
    </row>
    <row r="42" spans="1:23" x14ac:dyDescent="0.3">
      <c r="A42" s="109">
        <v>18</v>
      </c>
      <c r="B42" s="58">
        <f t="shared" si="5"/>
        <v>9439912</v>
      </c>
      <c r="C42" s="116">
        <f t="shared" si="6"/>
        <v>31781</v>
      </c>
      <c r="D42" s="117">
        <f t="shared" si="7"/>
        <v>23679</v>
      </c>
      <c r="E42" s="116">
        <f t="shared" si="10"/>
        <v>38304.998484999989</v>
      </c>
      <c r="F42" s="116">
        <f t="shared" si="1"/>
        <v>55460</v>
      </c>
      <c r="G42" s="117">
        <v>0</v>
      </c>
      <c r="H42" s="116">
        <f t="shared" si="8"/>
        <v>55460</v>
      </c>
      <c r="I42" s="116">
        <f t="shared" si="2"/>
        <v>55785</v>
      </c>
      <c r="J42" s="119">
        <f t="shared" si="3"/>
        <v>57996</v>
      </c>
      <c r="K42" s="119">
        <f t="shared" si="4"/>
        <v>60598</v>
      </c>
      <c r="L42" s="110"/>
      <c r="M42" s="110"/>
      <c r="N42" s="110"/>
      <c r="O42" s="110"/>
      <c r="P42" s="110"/>
      <c r="Q42" s="110"/>
      <c r="R42" s="110"/>
    </row>
    <row r="43" spans="1:23" x14ac:dyDescent="0.3">
      <c r="A43" s="109">
        <v>19</v>
      </c>
      <c r="B43" s="58">
        <f t="shared" si="5"/>
        <v>9408052</v>
      </c>
      <c r="C43" s="116">
        <f t="shared" si="6"/>
        <v>31860</v>
      </c>
      <c r="D43" s="117">
        <f t="shared" si="7"/>
        <v>23600</v>
      </c>
      <c r="E43" s="116">
        <f t="shared" si="10"/>
        <v>38304.998484999989</v>
      </c>
      <c r="F43" s="116">
        <f t="shared" si="1"/>
        <v>55460</v>
      </c>
      <c r="G43" s="117">
        <v>0</v>
      </c>
      <c r="H43" s="116">
        <f t="shared" si="8"/>
        <v>55460</v>
      </c>
      <c r="I43" s="116">
        <f t="shared" si="2"/>
        <v>55785</v>
      </c>
      <c r="J43" s="119">
        <f t="shared" si="3"/>
        <v>57996</v>
      </c>
      <c r="K43" s="119">
        <f t="shared" si="4"/>
        <v>60598</v>
      </c>
      <c r="L43" s="110"/>
      <c r="M43" s="110"/>
      <c r="N43" s="110"/>
      <c r="O43" s="110"/>
      <c r="P43" s="110"/>
      <c r="Q43" s="110"/>
      <c r="R43" s="110"/>
    </row>
    <row r="44" spans="1:23" x14ac:dyDescent="0.3">
      <c r="A44" s="109">
        <v>20</v>
      </c>
      <c r="B44" s="58">
        <f t="shared" si="5"/>
        <v>9376112</v>
      </c>
      <c r="C44" s="116">
        <f t="shared" si="6"/>
        <v>31940</v>
      </c>
      <c r="D44" s="117">
        <f t="shared" si="7"/>
        <v>23520</v>
      </c>
      <c r="E44" s="116">
        <f t="shared" si="10"/>
        <v>38304.998484999989</v>
      </c>
      <c r="F44" s="116">
        <f t="shared" si="1"/>
        <v>55460</v>
      </c>
      <c r="G44" s="117">
        <v>0</v>
      </c>
      <c r="H44" s="116">
        <f t="shared" si="8"/>
        <v>55460</v>
      </c>
      <c r="I44" s="116">
        <f t="shared" si="2"/>
        <v>55785</v>
      </c>
      <c r="J44" s="119">
        <f t="shared" si="3"/>
        <v>57996</v>
      </c>
      <c r="K44" s="119">
        <f t="shared" si="4"/>
        <v>60598</v>
      </c>
      <c r="L44" s="110"/>
      <c r="M44" s="110"/>
      <c r="N44" s="110"/>
      <c r="O44" s="110"/>
      <c r="P44" s="110"/>
      <c r="Q44" s="110"/>
      <c r="R44" s="110"/>
    </row>
    <row r="45" spans="1:23" x14ac:dyDescent="0.3">
      <c r="A45" s="109">
        <v>21</v>
      </c>
      <c r="B45" s="58">
        <f t="shared" si="5"/>
        <v>9344092</v>
      </c>
      <c r="C45" s="116">
        <f t="shared" si="6"/>
        <v>32020</v>
      </c>
      <c r="D45" s="117">
        <f t="shared" si="7"/>
        <v>23440</v>
      </c>
      <c r="E45" s="116">
        <f t="shared" si="10"/>
        <v>38304.998484999989</v>
      </c>
      <c r="F45" s="116">
        <f t="shared" si="1"/>
        <v>55460</v>
      </c>
      <c r="G45" s="117">
        <v>0</v>
      </c>
      <c r="H45" s="116">
        <f t="shared" si="8"/>
        <v>55460</v>
      </c>
      <c r="I45" s="116">
        <f t="shared" si="2"/>
        <v>55785</v>
      </c>
      <c r="J45" s="119">
        <f t="shared" si="3"/>
        <v>57996</v>
      </c>
      <c r="K45" s="119">
        <f t="shared" si="4"/>
        <v>60598</v>
      </c>
      <c r="L45" s="110"/>
      <c r="M45" s="110"/>
      <c r="N45" s="110"/>
      <c r="O45" s="110"/>
      <c r="P45" s="110"/>
      <c r="Q45" s="110"/>
      <c r="R45" s="110"/>
    </row>
    <row r="46" spans="1:23" x14ac:dyDescent="0.3">
      <c r="A46" s="109">
        <v>22</v>
      </c>
      <c r="B46" s="58">
        <f t="shared" si="5"/>
        <v>9311992</v>
      </c>
      <c r="C46" s="116">
        <f t="shared" si="6"/>
        <v>32100</v>
      </c>
      <c r="D46" s="117">
        <f t="shared" si="7"/>
        <v>23360</v>
      </c>
      <c r="E46" s="116">
        <f t="shared" si="10"/>
        <v>38304.998484999989</v>
      </c>
      <c r="F46" s="116">
        <f t="shared" si="1"/>
        <v>55460</v>
      </c>
      <c r="G46" s="117">
        <v>0</v>
      </c>
      <c r="H46" s="116">
        <f t="shared" si="8"/>
        <v>55460</v>
      </c>
      <c r="I46" s="116">
        <f t="shared" si="2"/>
        <v>55785</v>
      </c>
      <c r="J46" s="119">
        <f t="shared" si="3"/>
        <v>57996</v>
      </c>
      <c r="K46" s="119">
        <f t="shared" si="4"/>
        <v>60598</v>
      </c>
      <c r="L46" s="110"/>
      <c r="M46" s="110"/>
      <c r="N46" s="110"/>
      <c r="O46" s="110"/>
      <c r="P46" s="110"/>
      <c r="Q46" s="110"/>
      <c r="R46" s="110"/>
    </row>
    <row r="47" spans="1:23" x14ac:dyDescent="0.3">
      <c r="A47" s="109">
        <v>23</v>
      </c>
      <c r="B47" s="58">
        <f t="shared" si="5"/>
        <v>9279812</v>
      </c>
      <c r="C47" s="116">
        <f t="shared" si="6"/>
        <v>32180</v>
      </c>
      <c r="D47" s="117">
        <f t="shared" si="7"/>
        <v>23280</v>
      </c>
      <c r="E47" s="116">
        <f t="shared" si="10"/>
        <v>38304.998484999989</v>
      </c>
      <c r="F47" s="116">
        <f t="shared" si="1"/>
        <v>55460</v>
      </c>
      <c r="G47" s="117">
        <v>0</v>
      </c>
      <c r="H47" s="116">
        <f t="shared" si="8"/>
        <v>55460</v>
      </c>
      <c r="I47" s="116">
        <f t="shared" si="2"/>
        <v>55785</v>
      </c>
      <c r="J47" s="119">
        <f t="shared" si="3"/>
        <v>57996</v>
      </c>
      <c r="K47" s="119">
        <f t="shared" si="4"/>
        <v>60598</v>
      </c>
      <c r="L47" s="110"/>
      <c r="M47" s="110"/>
      <c r="N47" s="110"/>
      <c r="O47" s="110"/>
      <c r="P47" s="110"/>
      <c r="Q47" s="110"/>
      <c r="R47" s="110"/>
    </row>
    <row r="48" spans="1:23" x14ac:dyDescent="0.3">
      <c r="A48" s="109">
        <v>24</v>
      </c>
      <c r="B48" s="58">
        <f t="shared" si="5"/>
        <v>9247552</v>
      </c>
      <c r="C48" s="116">
        <f t="shared" si="6"/>
        <v>32260</v>
      </c>
      <c r="D48" s="117">
        <f t="shared" si="7"/>
        <v>23200</v>
      </c>
      <c r="E48" s="116">
        <f t="shared" si="10"/>
        <v>38304.998484999989</v>
      </c>
      <c r="F48" s="116">
        <f t="shared" si="1"/>
        <v>55460</v>
      </c>
      <c r="G48" s="117">
        <v>0</v>
      </c>
      <c r="H48" s="116">
        <f t="shared" si="8"/>
        <v>55460</v>
      </c>
      <c r="I48" s="116">
        <f t="shared" si="2"/>
        <v>55785</v>
      </c>
      <c r="J48" s="119">
        <f t="shared" si="3"/>
        <v>57996</v>
      </c>
      <c r="K48" s="119">
        <f t="shared" si="4"/>
        <v>60598</v>
      </c>
      <c r="L48" s="58">
        <f t="shared" ref="L48:Q48" si="11">SUM(C37:C48)</f>
        <v>381860</v>
      </c>
      <c r="M48" s="58">
        <f t="shared" si="11"/>
        <v>283660</v>
      </c>
      <c r="N48" s="58">
        <f t="shared" si="11"/>
        <v>459659.98181999987</v>
      </c>
      <c r="O48" s="58">
        <f t="shared" si="11"/>
        <v>665520</v>
      </c>
      <c r="P48" s="58">
        <f t="shared" si="11"/>
        <v>0</v>
      </c>
      <c r="Q48" s="58">
        <f t="shared" si="11"/>
        <v>665520</v>
      </c>
      <c r="R48" s="58">
        <f>SUM(J37:J48)</f>
        <v>695952</v>
      </c>
      <c r="S48" s="29">
        <f>SUM(K37:K48)</f>
        <v>727176</v>
      </c>
      <c r="T48" s="29"/>
      <c r="U48" s="29"/>
      <c r="V48" s="29"/>
      <c r="W48" s="29"/>
    </row>
    <row r="49" spans="1:23" x14ac:dyDescent="0.3">
      <c r="A49" s="109">
        <v>25</v>
      </c>
      <c r="B49" s="58">
        <f t="shared" si="5"/>
        <v>9215211</v>
      </c>
      <c r="C49" s="116">
        <f t="shared" si="6"/>
        <v>32341</v>
      </c>
      <c r="D49" s="117">
        <f t="shared" si="7"/>
        <v>23119</v>
      </c>
      <c r="E49" s="116">
        <f t="shared" ref="E49:E60" si="12">IF(A49&gt;$C$3,0,$B$48*($C$5/12))</f>
        <v>36785.991226666651</v>
      </c>
      <c r="F49" s="116">
        <f t="shared" si="1"/>
        <v>55460</v>
      </c>
      <c r="G49" s="117">
        <v>0</v>
      </c>
      <c r="H49" s="116">
        <f t="shared" si="8"/>
        <v>55460</v>
      </c>
      <c r="I49" s="116">
        <f t="shared" si="2"/>
        <v>55785</v>
      </c>
      <c r="J49" s="119">
        <f t="shared" si="3"/>
        <v>57996</v>
      </c>
      <c r="K49" s="119">
        <f t="shared" si="4"/>
        <v>60598</v>
      </c>
      <c r="L49" s="110"/>
      <c r="M49" s="110"/>
      <c r="N49" s="110"/>
      <c r="O49" s="110"/>
      <c r="P49" s="110"/>
      <c r="Q49" s="110"/>
      <c r="R49" s="110"/>
    </row>
    <row r="50" spans="1:23" x14ac:dyDescent="0.3">
      <c r="A50" s="109">
        <v>26</v>
      </c>
      <c r="B50" s="58">
        <f t="shared" si="5"/>
        <v>9182789</v>
      </c>
      <c r="C50" s="116">
        <f t="shared" si="6"/>
        <v>32422</v>
      </c>
      <c r="D50" s="117">
        <f t="shared" si="7"/>
        <v>23038</v>
      </c>
      <c r="E50" s="116">
        <f t="shared" si="12"/>
        <v>36785.991226666651</v>
      </c>
      <c r="F50" s="116">
        <f t="shared" si="1"/>
        <v>55460</v>
      </c>
      <c r="G50" s="117">
        <v>0</v>
      </c>
      <c r="H50" s="116">
        <f t="shared" si="8"/>
        <v>55460</v>
      </c>
      <c r="I50" s="116">
        <f t="shared" si="2"/>
        <v>55785</v>
      </c>
      <c r="J50" s="119">
        <f t="shared" si="3"/>
        <v>57996</v>
      </c>
      <c r="K50" s="119">
        <f t="shared" si="4"/>
        <v>60598</v>
      </c>
      <c r="L50" s="110"/>
      <c r="M50" s="110"/>
      <c r="N50" s="110"/>
      <c r="O50" s="110"/>
      <c r="P50" s="110"/>
      <c r="Q50" s="110"/>
      <c r="R50" s="110"/>
    </row>
    <row r="51" spans="1:23" x14ac:dyDescent="0.3">
      <c r="A51" s="109">
        <v>27</v>
      </c>
      <c r="B51" s="58">
        <f t="shared" si="5"/>
        <v>9150286</v>
      </c>
      <c r="C51" s="116">
        <f t="shared" si="6"/>
        <v>32503</v>
      </c>
      <c r="D51" s="117">
        <f t="shared" si="7"/>
        <v>22957</v>
      </c>
      <c r="E51" s="116">
        <f t="shared" si="12"/>
        <v>36785.991226666651</v>
      </c>
      <c r="F51" s="116">
        <f t="shared" si="1"/>
        <v>55460</v>
      </c>
      <c r="G51" s="117">
        <v>0</v>
      </c>
      <c r="H51" s="116">
        <f t="shared" si="8"/>
        <v>55460</v>
      </c>
      <c r="I51" s="116">
        <f t="shared" si="2"/>
        <v>55785</v>
      </c>
      <c r="J51" s="119">
        <f t="shared" si="3"/>
        <v>57996</v>
      </c>
      <c r="K51" s="119">
        <f t="shared" si="4"/>
        <v>60598</v>
      </c>
      <c r="L51" s="110"/>
      <c r="M51" s="110"/>
      <c r="N51" s="110"/>
      <c r="O51" s="110"/>
      <c r="P51" s="110"/>
      <c r="Q51" s="110"/>
      <c r="R51" s="110"/>
    </row>
    <row r="52" spans="1:23" x14ac:dyDescent="0.3">
      <c r="A52" s="109">
        <v>28</v>
      </c>
      <c r="B52" s="58">
        <f t="shared" si="5"/>
        <v>9117702</v>
      </c>
      <c r="C52" s="116">
        <f t="shared" si="6"/>
        <v>32584</v>
      </c>
      <c r="D52" s="117">
        <f t="shared" si="7"/>
        <v>22876</v>
      </c>
      <c r="E52" s="116">
        <f t="shared" si="12"/>
        <v>36785.991226666651</v>
      </c>
      <c r="F52" s="116">
        <f t="shared" si="1"/>
        <v>55460</v>
      </c>
      <c r="G52" s="117">
        <v>0</v>
      </c>
      <c r="H52" s="116">
        <f t="shared" si="8"/>
        <v>55460</v>
      </c>
      <c r="I52" s="116">
        <f t="shared" si="2"/>
        <v>55785</v>
      </c>
      <c r="J52" s="119">
        <f t="shared" si="3"/>
        <v>57996</v>
      </c>
      <c r="K52" s="119">
        <f t="shared" si="4"/>
        <v>60598</v>
      </c>
      <c r="L52" s="110"/>
      <c r="M52" s="110"/>
      <c r="N52" s="110"/>
      <c r="O52" s="110"/>
      <c r="P52" s="110"/>
      <c r="Q52" s="110"/>
      <c r="R52" s="110"/>
    </row>
    <row r="53" spans="1:23" x14ac:dyDescent="0.3">
      <c r="A53" s="109">
        <v>29</v>
      </c>
      <c r="B53" s="58">
        <f t="shared" si="5"/>
        <v>9085036</v>
      </c>
      <c r="C53" s="116">
        <f t="shared" si="6"/>
        <v>32666</v>
      </c>
      <c r="D53" s="117">
        <f t="shared" si="7"/>
        <v>22794</v>
      </c>
      <c r="E53" s="116">
        <f t="shared" si="12"/>
        <v>36785.991226666651</v>
      </c>
      <c r="F53" s="116">
        <f t="shared" si="1"/>
        <v>55460</v>
      </c>
      <c r="G53" s="117">
        <v>0</v>
      </c>
      <c r="H53" s="116">
        <f t="shared" si="8"/>
        <v>55460</v>
      </c>
      <c r="I53" s="116">
        <f t="shared" si="2"/>
        <v>55785</v>
      </c>
      <c r="J53" s="119">
        <f t="shared" si="3"/>
        <v>57996</v>
      </c>
      <c r="K53" s="119">
        <f t="shared" si="4"/>
        <v>60598</v>
      </c>
      <c r="L53" s="110"/>
      <c r="M53" s="110"/>
      <c r="N53" s="110"/>
      <c r="O53" s="110"/>
      <c r="P53" s="110"/>
      <c r="Q53" s="110"/>
      <c r="R53" s="110"/>
    </row>
    <row r="54" spans="1:23" x14ac:dyDescent="0.3">
      <c r="A54" s="109">
        <v>30</v>
      </c>
      <c r="B54" s="58">
        <f t="shared" si="5"/>
        <v>9052289</v>
      </c>
      <c r="C54" s="116">
        <f t="shared" si="6"/>
        <v>32747</v>
      </c>
      <c r="D54" s="117">
        <f t="shared" si="7"/>
        <v>22713</v>
      </c>
      <c r="E54" s="116">
        <f t="shared" si="12"/>
        <v>36785.991226666651</v>
      </c>
      <c r="F54" s="116">
        <f t="shared" si="1"/>
        <v>55460</v>
      </c>
      <c r="G54" s="117">
        <v>0</v>
      </c>
      <c r="H54" s="116">
        <f t="shared" si="8"/>
        <v>55460</v>
      </c>
      <c r="I54" s="116">
        <f t="shared" si="2"/>
        <v>55785</v>
      </c>
      <c r="J54" s="119">
        <f t="shared" si="3"/>
        <v>57996</v>
      </c>
      <c r="K54" s="119">
        <f t="shared" si="4"/>
        <v>60598</v>
      </c>
      <c r="L54" s="110"/>
      <c r="M54" s="110"/>
      <c r="N54" s="110"/>
      <c r="O54" s="110"/>
      <c r="P54" s="110"/>
      <c r="Q54" s="110"/>
      <c r="R54" s="110"/>
    </row>
    <row r="55" spans="1:23" x14ac:dyDescent="0.3">
      <c r="A55" s="109">
        <v>31</v>
      </c>
      <c r="B55" s="58">
        <f t="shared" si="5"/>
        <v>9019460</v>
      </c>
      <c r="C55" s="116">
        <f t="shared" si="6"/>
        <v>32829</v>
      </c>
      <c r="D55" s="117">
        <f t="shared" si="7"/>
        <v>22631</v>
      </c>
      <c r="E55" s="116">
        <f t="shared" si="12"/>
        <v>36785.991226666651</v>
      </c>
      <c r="F55" s="116">
        <f t="shared" si="1"/>
        <v>55460</v>
      </c>
      <c r="G55" s="117">
        <v>0</v>
      </c>
      <c r="H55" s="116">
        <f t="shared" si="8"/>
        <v>55460</v>
      </c>
      <c r="I55" s="116">
        <f t="shared" si="2"/>
        <v>55785</v>
      </c>
      <c r="J55" s="119">
        <f t="shared" si="3"/>
        <v>57996</v>
      </c>
      <c r="K55" s="119">
        <f t="shared" si="4"/>
        <v>60598</v>
      </c>
      <c r="L55" s="110"/>
      <c r="M55" s="110"/>
      <c r="N55" s="110"/>
      <c r="O55" s="110"/>
      <c r="P55" s="110"/>
      <c r="Q55" s="110"/>
      <c r="R55" s="110"/>
    </row>
    <row r="56" spans="1:23" x14ac:dyDescent="0.3">
      <c r="A56" s="109">
        <v>32</v>
      </c>
      <c r="B56" s="58">
        <f t="shared" si="5"/>
        <v>8986549</v>
      </c>
      <c r="C56" s="116">
        <f t="shared" si="6"/>
        <v>32911</v>
      </c>
      <c r="D56" s="117">
        <f t="shared" si="7"/>
        <v>22549</v>
      </c>
      <c r="E56" s="116">
        <f t="shared" si="12"/>
        <v>36785.991226666651</v>
      </c>
      <c r="F56" s="116">
        <f t="shared" si="1"/>
        <v>55460</v>
      </c>
      <c r="G56" s="117">
        <v>0</v>
      </c>
      <c r="H56" s="116">
        <f t="shared" si="8"/>
        <v>55460</v>
      </c>
      <c r="I56" s="116">
        <f t="shared" si="2"/>
        <v>55785</v>
      </c>
      <c r="J56" s="119">
        <f t="shared" si="3"/>
        <v>57996</v>
      </c>
      <c r="K56" s="119">
        <f t="shared" si="4"/>
        <v>60598</v>
      </c>
      <c r="L56" s="110"/>
      <c r="M56" s="110"/>
      <c r="N56" s="110"/>
      <c r="O56" s="110"/>
      <c r="P56" s="110"/>
      <c r="Q56" s="110"/>
      <c r="R56" s="110"/>
    </row>
    <row r="57" spans="1:23" x14ac:dyDescent="0.3">
      <c r="A57" s="109">
        <v>33</v>
      </c>
      <c r="B57" s="58">
        <f t="shared" si="5"/>
        <v>8953555</v>
      </c>
      <c r="C57" s="116">
        <f t="shared" si="6"/>
        <v>32994</v>
      </c>
      <c r="D57" s="117">
        <f t="shared" si="7"/>
        <v>22466</v>
      </c>
      <c r="E57" s="116">
        <f t="shared" si="12"/>
        <v>36785.991226666651</v>
      </c>
      <c r="F57" s="116">
        <f t="shared" si="1"/>
        <v>55460</v>
      </c>
      <c r="G57" s="117">
        <v>0</v>
      </c>
      <c r="H57" s="116">
        <f t="shared" si="8"/>
        <v>55460</v>
      </c>
      <c r="I57" s="116">
        <f t="shared" si="2"/>
        <v>55785</v>
      </c>
      <c r="J57" s="119">
        <f t="shared" si="3"/>
        <v>57996</v>
      </c>
      <c r="K57" s="119">
        <f t="shared" si="4"/>
        <v>60598</v>
      </c>
      <c r="L57" s="110"/>
      <c r="M57" s="110"/>
      <c r="N57" s="110"/>
      <c r="O57" s="110"/>
      <c r="P57" s="110"/>
      <c r="Q57" s="110"/>
      <c r="R57" s="110"/>
    </row>
    <row r="58" spans="1:23" x14ac:dyDescent="0.3">
      <c r="A58" s="109">
        <v>34</v>
      </c>
      <c r="B58" s="58">
        <f t="shared" si="5"/>
        <v>8920479</v>
      </c>
      <c r="C58" s="116">
        <f t="shared" si="6"/>
        <v>33076</v>
      </c>
      <c r="D58" s="117">
        <f t="shared" si="7"/>
        <v>22384</v>
      </c>
      <c r="E58" s="116">
        <f t="shared" si="12"/>
        <v>36785.991226666651</v>
      </c>
      <c r="F58" s="116">
        <f t="shared" si="1"/>
        <v>55460</v>
      </c>
      <c r="G58" s="117">
        <v>0</v>
      </c>
      <c r="H58" s="116">
        <f t="shared" si="8"/>
        <v>55460</v>
      </c>
      <c r="I58" s="116">
        <f t="shared" si="2"/>
        <v>55785</v>
      </c>
      <c r="J58" s="119">
        <f t="shared" si="3"/>
        <v>57996</v>
      </c>
      <c r="K58" s="119">
        <f t="shared" si="4"/>
        <v>60598</v>
      </c>
      <c r="L58" s="110"/>
      <c r="M58" s="110"/>
      <c r="N58" s="110"/>
      <c r="O58" s="110"/>
      <c r="P58" s="110"/>
      <c r="Q58" s="110"/>
      <c r="R58" s="110"/>
    </row>
    <row r="59" spans="1:23" x14ac:dyDescent="0.3">
      <c r="A59" s="109">
        <v>35</v>
      </c>
      <c r="B59" s="58">
        <f t="shared" si="5"/>
        <v>8887320</v>
      </c>
      <c r="C59" s="116">
        <f t="shared" si="6"/>
        <v>33159</v>
      </c>
      <c r="D59" s="117">
        <f t="shared" si="7"/>
        <v>22301</v>
      </c>
      <c r="E59" s="116">
        <f t="shared" si="12"/>
        <v>36785.991226666651</v>
      </c>
      <c r="F59" s="116">
        <f t="shared" si="1"/>
        <v>55460</v>
      </c>
      <c r="G59" s="117">
        <v>0</v>
      </c>
      <c r="H59" s="116">
        <f t="shared" si="8"/>
        <v>55460</v>
      </c>
      <c r="I59" s="116">
        <f t="shared" si="2"/>
        <v>55785</v>
      </c>
      <c r="J59" s="119">
        <f t="shared" si="3"/>
        <v>57996</v>
      </c>
      <c r="K59" s="119">
        <f t="shared" si="4"/>
        <v>60598</v>
      </c>
      <c r="L59" s="110"/>
      <c r="M59" s="110"/>
      <c r="N59" s="110"/>
      <c r="O59" s="110"/>
      <c r="P59" s="110"/>
      <c r="Q59" s="110"/>
      <c r="R59" s="110"/>
    </row>
    <row r="60" spans="1:23" x14ac:dyDescent="0.3">
      <c r="A60" s="109">
        <v>36</v>
      </c>
      <c r="B60" s="58">
        <f t="shared" si="5"/>
        <v>8854078</v>
      </c>
      <c r="C60" s="116">
        <f t="shared" si="6"/>
        <v>33242</v>
      </c>
      <c r="D60" s="117">
        <f t="shared" si="7"/>
        <v>22218</v>
      </c>
      <c r="E60" s="116">
        <f t="shared" si="12"/>
        <v>36785.991226666651</v>
      </c>
      <c r="F60" s="116">
        <f t="shared" si="1"/>
        <v>55460</v>
      </c>
      <c r="G60" s="117">
        <v>0</v>
      </c>
      <c r="H60" s="116">
        <f t="shared" si="8"/>
        <v>55460</v>
      </c>
      <c r="I60" s="116">
        <f t="shared" si="2"/>
        <v>55785</v>
      </c>
      <c r="J60" s="119">
        <f t="shared" si="3"/>
        <v>57996</v>
      </c>
      <c r="K60" s="119">
        <f t="shared" si="4"/>
        <v>60598</v>
      </c>
      <c r="L60" s="58">
        <f t="shared" ref="L60:Q60" si="13">SUM(C49:C60)</f>
        <v>393474</v>
      </c>
      <c r="M60" s="58">
        <f t="shared" si="13"/>
        <v>272046</v>
      </c>
      <c r="N60" s="58">
        <f t="shared" si="13"/>
        <v>441431.89471999992</v>
      </c>
      <c r="O60" s="58">
        <f t="shared" si="13"/>
        <v>665520</v>
      </c>
      <c r="P60" s="58">
        <f t="shared" si="13"/>
        <v>0</v>
      </c>
      <c r="Q60" s="58">
        <f t="shared" si="13"/>
        <v>665520</v>
      </c>
      <c r="R60" s="58">
        <f>SUM(J49:J60)</f>
        <v>695952</v>
      </c>
      <c r="S60" s="29">
        <f>SUM(K49:K60)</f>
        <v>727176</v>
      </c>
      <c r="T60" s="29"/>
      <c r="U60" s="29"/>
      <c r="V60" s="29"/>
      <c r="W60" s="29"/>
    </row>
    <row r="61" spans="1:23" x14ac:dyDescent="0.3">
      <c r="A61" s="109">
        <v>37</v>
      </c>
      <c r="B61" s="58">
        <f t="shared" si="5"/>
        <v>8820753</v>
      </c>
      <c r="C61" s="116">
        <f t="shared" si="6"/>
        <v>33325</v>
      </c>
      <c r="D61" s="117">
        <f t="shared" si="7"/>
        <v>22135</v>
      </c>
      <c r="E61" s="116">
        <f t="shared" ref="E61:E72" si="14">IF(A61&gt;$C$3,0,$B$60*($C$5/12))</f>
        <v>35220.784444166653</v>
      </c>
      <c r="F61" s="116">
        <f t="shared" si="1"/>
        <v>55460</v>
      </c>
      <c r="G61" s="117">
        <v>0</v>
      </c>
      <c r="H61" s="116">
        <f t="shared" si="8"/>
        <v>55460</v>
      </c>
      <c r="I61" s="116">
        <f t="shared" si="2"/>
        <v>55785</v>
      </c>
      <c r="J61" s="119">
        <f t="shared" si="3"/>
        <v>57996</v>
      </c>
      <c r="K61" s="119">
        <f t="shared" si="4"/>
        <v>60598</v>
      </c>
      <c r="L61" s="110"/>
      <c r="M61" s="110"/>
      <c r="N61" s="110"/>
      <c r="O61" s="110"/>
      <c r="P61" s="110"/>
      <c r="Q61" s="110"/>
      <c r="R61" s="110"/>
    </row>
    <row r="62" spans="1:23" x14ac:dyDescent="0.3">
      <c r="A62" s="109">
        <v>38</v>
      </c>
      <c r="B62" s="58">
        <f t="shared" si="5"/>
        <v>8787345</v>
      </c>
      <c r="C62" s="116">
        <f t="shared" si="6"/>
        <v>33408</v>
      </c>
      <c r="D62" s="117">
        <f t="shared" si="7"/>
        <v>22052</v>
      </c>
      <c r="E62" s="116">
        <f t="shared" si="14"/>
        <v>35220.784444166653</v>
      </c>
      <c r="F62" s="116">
        <f t="shared" si="1"/>
        <v>55460</v>
      </c>
      <c r="G62" s="117">
        <v>0</v>
      </c>
      <c r="H62" s="116">
        <f t="shared" si="8"/>
        <v>55460</v>
      </c>
      <c r="I62" s="116">
        <f t="shared" si="2"/>
        <v>55785</v>
      </c>
      <c r="J62" s="119">
        <f t="shared" si="3"/>
        <v>57996</v>
      </c>
      <c r="K62" s="119">
        <f t="shared" si="4"/>
        <v>60598</v>
      </c>
      <c r="L62" s="110"/>
      <c r="M62" s="110"/>
      <c r="N62" s="110"/>
      <c r="O62" s="110"/>
      <c r="P62" s="110"/>
      <c r="Q62" s="110"/>
      <c r="R62" s="110"/>
    </row>
    <row r="63" spans="1:23" x14ac:dyDescent="0.3">
      <c r="A63" s="109">
        <v>39</v>
      </c>
      <c r="B63" s="58">
        <f t="shared" si="5"/>
        <v>8753853</v>
      </c>
      <c r="C63" s="116">
        <f t="shared" si="6"/>
        <v>33492</v>
      </c>
      <c r="D63" s="117">
        <f t="shared" si="7"/>
        <v>21968</v>
      </c>
      <c r="E63" s="116">
        <f t="shared" si="14"/>
        <v>35220.784444166653</v>
      </c>
      <c r="F63" s="116">
        <f t="shared" si="1"/>
        <v>55460</v>
      </c>
      <c r="G63" s="117">
        <v>0</v>
      </c>
      <c r="H63" s="116">
        <f t="shared" si="8"/>
        <v>55460</v>
      </c>
      <c r="I63" s="116">
        <f t="shared" si="2"/>
        <v>55785</v>
      </c>
      <c r="J63" s="119">
        <f t="shared" si="3"/>
        <v>57996</v>
      </c>
      <c r="K63" s="119">
        <f t="shared" si="4"/>
        <v>60598</v>
      </c>
      <c r="L63" s="110"/>
      <c r="M63" s="110"/>
      <c r="N63" s="110"/>
      <c r="O63" s="110"/>
      <c r="P63" s="110"/>
      <c r="Q63" s="110"/>
      <c r="R63" s="110"/>
    </row>
    <row r="64" spans="1:23" x14ac:dyDescent="0.3">
      <c r="A64" s="109">
        <v>40</v>
      </c>
      <c r="B64" s="58">
        <f t="shared" si="5"/>
        <v>8720278</v>
      </c>
      <c r="C64" s="116">
        <f t="shared" si="6"/>
        <v>33575</v>
      </c>
      <c r="D64" s="117">
        <f t="shared" si="7"/>
        <v>21885</v>
      </c>
      <c r="E64" s="116">
        <f t="shared" si="14"/>
        <v>35220.784444166653</v>
      </c>
      <c r="F64" s="116">
        <f t="shared" si="1"/>
        <v>55460</v>
      </c>
      <c r="G64" s="117">
        <v>0</v>
      </c>
      <c r="H64" s="116">
        <f t="shared" si="8"/>
        <v>55460</v>
      </c>
      <c r="I64" s="116">
        <f t="shared" si="2"/>
        <v>55785</v>
      </c>
      <c r="J64" s="119">
        <f t="shared" si="3"/>
        <v>57996</v>
      </c>
      <c r="K64" s="119">
        <f t="shared" si="4"/>
        <v>60598</v>
      </c>
      <c r="L64" s="110"/>
      <c r="M64" s="110"/>
      <c r="N64" s="110"/>
      <c r="O64" s="110"/>
      <c r="P64" s="110"/>
      <c r="Q64" s="110"/>
      <c r="R64" s="110"/>
    </row>
    <row r="65" spans="1:23" x14ac:dyDescent="0.3">
      <c r="A65" s="109">
        <v>41</v>
      </c>
      <c r="B65" s="58">
        <f t="shared" si="5"/>
        <v>8686619</v>
      </c>
      <c r="C65" s="116">
        <f t="shared" si="6"/>
        <v>33659</v>
      </c>
      <c r="D65" s="117">
        <f t="shared" si="7"/>
        <v>21801</v>
      </c>
      <c r="E65" s="116">
        <f t="shared" si="14"/>
        <v>35220.784444166653</v>
      </c>
      <c r="F65" s="116">
        <f t="shared" si="1"/>
        <v>55460</v>
      </c>
      <c r="G65" s="117">
        <v>0</v>
      </c>
      <c r="H65" s="116">
        <f t="shared" si="8"/>
        <v>55460</v>
      </c>
      <c r="I65" s="116">
        <f t="shared" si="2"/>
        <v>55785</v>
      </c>
      <c r="J65" s="119">
        <f t="shared" si="3"/>
        <v>57996</v>
      </c>
      <c r="K65" s="119">
        <f t="shared" si="4"/>
        <v>60598</v>
      </c>
      <c r="L65" s="110"/>
      <c r="M65" s="110"/>
      <c r="N65" s="110"/>
      <c r="O65" s="110"/>
      <c r="P65" s="110"/>
      <c r="Q65" s="110"/>
      <c r="R65" s="110"/>
    </row>
    <row r="66" spans="1:23" x14ac:dyDescent="0.3">
      <c r="A66" s="109">
        <v>42</v>
      </c>
      <c r="B66" s="58">
        <f t="shared" si="5"/>
        <v>8652876</v>
      </c>
      <c r="C66" s="116">
        <f t="shared" si="6"/>
        <v>33743</v>
      </c>
      <c r="D66" s="117">
        <f t="shared" si="7"/>
        <v>21717</v>
      </c>
      <c r="E66" s="116">
        <f t="shared" si="14"/>
        <v>35220.784444166653</v>
      </c>
      <c r="F66" s="116">
        <f t="shared" si="1"/>
        <v>55460</v>
      </c>
      <c r="G66" s="117">
        <v>0</v>
      </c>
      <c r="H66" s="116">
        <f t="shared" si="8"/>
        <v>55460</v>
      </c>
      <c r="I66" s="116">
        <f t="shared" si="2"/>
        <v>55785</v>
      </c>
      <c r="J66" s="119">
        <f t="shared" si="3"/>
        <v>57996</v>
      </c>
      <c r="K66" s="119">
        <f t="shared" si="4"/>
        <v>60598</v>
      </c>
      <c r="L66" s="110"/>
      <c r="M66" s="110"/>
      <c r="N66" s="110"/>
      <c r="O66" s="110"/>
      <c r="P66" s="110"/>
      <c r="Q66" s="110"/>
      <c r="R66" s="110"/>
    </row>
    <row r="67" spans="1:23" x14ac:dyDescent="0.3">
      <c r="A67" s="109">
        <v>43</v>
      </c>
      <c r="B67" s="58">
        <f t="shared" si="5"/>
        <v>8619048</v>
      </c>
      <c r="C67" s="116">
        <f t="shared" si="6"/>
        <v>33828</v>
      </c>
      <c r="D67" s="117">
        <f t="shared" si="7"/>
        <v>21632</v>
      </c>
      <c r="E67" s="116">
        <f t="shared" si="14"/>
        <v>35220.784444166653</v>
      </c>
      <c r="F67" s="116">
        <f t="shared" si="1"/>
        <v>55460</v>
      </c>
      <c r="G67" s="117">
        <v>0</v>
      </c>
      <c r="H67" s="116">
        <f t="shared" si="8"/>
        <v>55460</v>
      </c>
      <c r="I67" s="116">
        <f t="shared" si="2"/>
        <v>55785</v>
      </c>
      <c r="J67" s="119">
        <f t="shared" si="3"/>
        <v>57996</v>
      </c>
      <c r="K67" s="119">
        <f t="shared" si="4"/>
        <v>60598</v>
      </c>
      <c r="L67" s="110"/>
      <c r="M67" s="110"/>
      <c r="N67" s="110"/>
      <c r="O67" s="110"/>
      <c r="P67" s="110"/>
      <c r="Q67" s="110"/>
      <c r="R67" s="110"/>
    </row>
    <row r="68" spans="1:23" x14ac:dyDescent="0.3">
      <c r="A68" s="109">
        <v>44</v>
      </c>
      <c r="B68" s="58">
        <f t="shared" si="5"/>
        <v>8585136</v>
      </c>
      <c r="C68" s="116">
        <f t="shared" si="6"/>
        <v>33912</v>
      </c>
      <c r="D68" s="117">
        <f t="shared" si="7"/>
        <v>21548</v>
      </c>
      <c r="E68" s="116">
        <f t="shared" si="14"/>
        <v>35220.784444166653</v>
      </c>
      <c r="F68" s="116">
        <f t="shared" si="1"/>
        <v>55460</v>
      </c>
      <c r="G68" s="117">
        <v>0</v>
      </c>
      <c r="H68" s="116">
        <f t="shared" si="8"/>
        <v>55460</v>
      </c>
      <c r="I68" s="116">
        <f t="shared" si="2"/>
        <v>55785</v>
      </c>
      <c r="J68" s="119">
        <f t="shared" si="3"/>
        <v>57996</v>
      </c>
      <c r="K68" s="119">
        <f t="shared" si="4"/>
        <v>60598</v>
      </c>
      <c r="L68" s="110"/>
      <c r="M68" s="110"/>
      <c r="N68" s="110"/>
      <c r="O68" s="110"/>
      <c r="P68" s="110"/>
      <c r="Q68" s="110"/>
      <c r="R68" s="110"/>
    </row>
    <row r="69" spans="1:23" x14ac:dyDescent="0.3">
      <c r="A69" s="109">
        <v>45</v>
      </c>
      <c r="B69" s="58">
        <f t="shared" si="5"/>
        <v>8551139</v>
      </c>
      <c r="C69" s="116">
        <f t="shared" si="6"/>
        <v>33997</v>
      </c>
      <c r="D69" s="117">
        <f t="shared" si="7"/>
        <v>21463</v>
      </c>
      <c r="E69" s="116">
        <f t="shared" si="14"/>
        <v>35220.784444166653</v>
      </c>
      <c r="F69" s="116">
        <f t="shared" si="1"/>
        <v>55460</v>
      </c>
      <c r="G69" s="117">
        <v>0</v>
      </c>
      <c r="H69" s="116">
        <f t="shared" si="8"/>
        <v>55460</v>
      </c>
      <c r="I69" s="116">
        <f t="shared" si="2"/>
        <v>55785</v>
      </c>
      <c r="J69" s="119">
        <f t="shared" si="3"/>
        <v>57996</v>
      </c>
      <c r="K69" s="119">
        <f t="shared" si="4"/>
        <v>60598</v>
      </c>
      <c r="L69" s="110"/>
      <c r="M69" s="110"/>
      <c r="N69" s="110"/>
      <c r="O69" s="110"/>
      <c r="P69" s="110"/>
      <c r="Q69" s="110"/>
      <c r="R69" s="110"/>
    </row>
    <row r="70" spans="1:23" x14ac:dyDescent="0.3">
      <c r="A70" s="109">
        <v>46</v>
      </c>
      <c r="B70" s="58">
        <f t="shared" si="5"/>
        <v>8517057</v>
      </c>
      <c r="C70" s="116">
        <f t="shared" si="6"/>
        <v>34082</v>
      </c>
      <c r="D70" s="117">
        <f t="shared" si="7"/>
        <v>21378</v>
      </c>
      <c r="E70" s="116">
        <f t="shared" si="14"/>
        <v>35220.784444166653</v>
      </c>
      <c r="F70" s="116">
        <f t="shared" si="1"/>
        <v>55460</v>
      </c>
      <c r="G70" s="117">
        <v>0</v>
      </c>
      <c r="H70" s="116">
        <f t="shared" si="8"/>
        <v>55460</v>
      </c>
      <c r="I70" s="116">
        <f t="shared" si="2"/>
        <v>55785</v>
      </c>
      <c r="J70" s="119">
        <f t="shared" si="3"/>
        <v>57996</v>
      </c>
      <c r="K70" s="119">
        <f t="shared" si="4"/>
        <v>60598</v>
      </c>
      <c r="L70" s="110"/>
      <c r="M70" s="110"/>
      <c r="N70" s="110"/>
      <c r="O70" s="110"/>
      <c r="P70" s="110"/>
      <c r="Q70" s="110"/>
      <c r="R70" s="110"/>
    </row>
    <row r="71" spans="1:23" x14ac:dyDescent="0.3">
      <c r="A71" s="109">
        <v>47</v>
      </c>
      <c r="B71" s="58">
        <f t="shared" si="5"/>
        <v>8482890</v>
      </c>
      <c r="C71" s="116">
        <f t="shared" si="6"/>
        <v>34167</v>
      </c>
      <c r="D71" s="117">
        <f t="shared" si="7"/>
        <v>21293</v>
      </c>
      <c r="E71" s="116">
        <f t="shared" si="14"/>
        <v>35220.784444166653</v>
      </c>
      <c r="F71" s="116">
        <f t="shared" si="1"/>
        <v>55460</v>
      </c>
      <c r="G71" s="117">
        <v>0</v>
      </c>
      <c r="H71" s="116">
        <f t="shared" si="8"/>
        <v>55460</v>
      </c>
      <c r="I71" s="116">
        <f t="shared" si="2"/>
        <v>55785</v>
      </c>
      <c r="J71" s="119">
        <f t="shared" si="3"/>
        <v>57996</v>
      </c>
      <c r="K71" s="119">
        <f t="shared" si="4"/>
        <v>60598</v>
      </c>
      <c r="L71" s="110"/>
      <c r="M71" s="110"/>
      <c r="N71" s="110"/>
      <c r="O71" s="110"/>
      <c r="P71" s="110"/>
      <c r="Q71" s="110"/>
      <c r="R71" s="110"/>
    </row>
    <row r="72" spans="1:23" x14ac:dyDescent="0.3">
      <c r="A72" s="109">
        <v>48</v>
      </c>
      <c r="B72" s="58">
        <f t="shared" si="5"/>
        <v>8448637</v>
      </c>
      <c r="C72" s="116">
        <f t="shared" si="6"/>
        <v>34253</v>
      </c>
      <c r="D72" s="117">
        <f t="shared" si="7"/>
        <v>21207</v>
      </c>
      <c r="E72" s="116">
        <f t="shared" si="14"/>
        <v>35220.784444166653</v>
      </c>
      <c r="F72" s="116">
        <f t="shared" si="1"/>
        <v>55460</v>
      </c>
      <c r="G72" s="117">
        <v>0</v>
      </c>
      <c r="H72" s="116">
        <f t="shared" si="8"/>
        <v>55460</v>
      </c>
      <c r="I72" s="116">
        <f t="shared" si="2"/>
        <v>55785</v>
      </c>
      <c r="J72" s="119">
        <f t="shared" si="3"/>
        <v>57996</v>
      </c>
      <c r="K72" s="119">
        <f t="shared" si="4"/>
        <v>60598</v>
      </c>
      <c r="L72" s="58">
        <f t="shared" ref="L72:Q72" si="15">SUM(C61:C72)</f>
        <v>405441</v>
      </c>
      <c r="M72" s="58">
        <f t="shared" si="15"/>
        <v>260079</v>
      </c>
      <c r="N72" s="58">
        <f t="shared" si="15"/>
        <v>422649.41332999972</v>
      </c>
      <c r="O72" s="58">
        <f t="shared" si="15"/>
        <v>665520</v>
      </c>
      <c r="P72" s="58">
        <f t="shared" si="15"/>
        <v>0</v>
      </c>
      <c r="Q72" s="58">
        <f t="shared" si="15"/>
        <v>665520</v>
      </c>
      <c r="R72" s="58">
        <f>SUM(J61:J72)</f>
        <v>695952</v>
      </c>
      <c r="S72" s="29">
        <f>SUM(K61:K72)</f>
        <v>727176</v>
      </c>
      <c r="T72" s="29"/>
      <c r="U72" s="29"/>
      <c r="V72" s="29"/>
      <c r="W72" s="29"/>
    </row>
    <row r="73" spans="1:23" x14ac:dyDescent="0.3">
      <c r="A73" s="111">
        <v>49</v>
      </c>
      <c r="B73" s="58">
        <f t="shared" si="5"/>
        <v>8414299</v>
      </c>
      <c r="C73" s="116">
        <f t="shared" si="6"/>
        <v>34338</v>
      </c>
      <c r="D73" s="117">
        <f t="shared" si="7"/>
        <v>21122</v>
      </c>
      <c r="E73" s="116">
        <f t="shared" ref="E73:E84" si="16">IF(A73&gt;$C$3,0,$B$72*($C$5/12))</f>
        <v>33607.973932916655</v>
      </c>
      <c r="F73" s="116">
        <f t="shared" si="1"/>
        <v>55460</v>
      </c>
      <c r="G73" s="117">
        <v>0</v>
      </c>
      <c r="H73" s="116">
        <f t="shared" si="8"/>
        <v>55460</v>
      </c>
      <c r="I73" s="116">
        <f t="shared" si="2"/>
        <v>55785</v>
      </c>
      <c r="J73" s="119">
        <f t="shared" si="3"/>
        <v>57996</v>
      </c>
      <c r="K73" s="119">
        <f t="shared" si="4"/>
        <v>60598</v>
      </c>
      <c r="L73" s="110"/>
      <c r="M73" s="110"/>
      <c r="N73" s="110"/>
      <c r="O73" s="110"/>
      <c r="P73" s="110"/>
      <c r="Q73" s="110"/>
      <c r="R73" s="110"/>
    </row>
    <row r="74" spans="1:23" x14ac:dyDescent="0.3">
      <c r="A74" s="109">
        <v>50</v>
      </c>
      <c r="B74" s="58">
        <f t="shared" si="5"/>
        <v>8379875</v>
      </c>
      <c r="C74" s="116">
        <f t="shared" si="6"/>
        <v>34424</v>
      </c>
      <c r="D74" s="117">
        <f t="shared" si="7"/>
        <v>21036</v>
      </c>
      <c r="E74" s="116">
        <f t="shared" si="16"/>
        <v>33607.973932916655</v>
      </c>
      <c r="F74" s="116">
        <f t="shared" si="1"/>
        <v>55460</v>
      </c>
      <c r="G74" s="117">
        <v>0</v>
      </c>
      <c r="H74" s="116">
        <f t="shared" si="8"/>
        <v>55460</v>
      </c>
      <c r="I74" s="116">
        <f t="shared" si="2"/>
        <v>55785</v>
      </c>
      <c r="J74" s="119">
        <f t="shared" si="3"/>
        <v>57996</v>
      </c>
      <c r="K74" s="119">
        <f t="shared" si="4"/>
        <v>60598</v>
      </c>
      <c r="L74" s="110"/>
      <c r="M74" s="110"/>
      <c r="N74" s="110"/>
      <c r="O74" s="110"/>
      <c r="P74" s="110"/>
      <c r="Q74" s="110"/>
      <c r="R74" s="110"/>
    </row>
    <row r="75" spans="1:23" x14ac:dyDescent="0.3">
      <c r="A75" s="109">
        <v>51</v>
      </c>
      <c r="B75" s="58">
        <f t="shared" si="5"/>
        <v>8345365</v>
      </c>
      <c r="C75" s="116">
        <f t="shared" si="6"/>
        <v>34510</v>
      </c>
      <c r="D75" s="117">
        <f t="shared" si="7"/>
        <v>20950</v>
      </c>
      <c r="E75" s="116">
        <f t="shared" si="16"/>
        <v>33607.973932916655</v>
      </c>
      <c r="F75" s="116">
        <f t="shared" si="1"/>
        <v>55460</v>
      </c>
      <c r="G75" s="117">
        <v>0</v>
      </c>
      <c r="H75" s="116">
        <f t="shared" si="8"/>
        <v>55460</v>
      </c>
      <c r="I75" s="116">
        <f t="shared" si="2"/>
        <v>55785</v>
      </c>
      <c r="J75" s="119">
        <f t="shared" si="3"/>
        <v>57996</v>
      </c>
      <c r="K75" s="119">
        <f t="shared" si="4"/>
        <v>60598</v>
      </c>
      <c r="L75" s="110"/>
      <c r="M75" s="110"/>
      <c r="N75" s="110"/>
      <c r="O75" s="110"/>
      <c r="P75" s="110"/>
      <c r="Q75" s="110"/>
      <c r="R75" s="110"/>
    </row>
    <row r="76" spans="1:23" x14ac:dyDescent="0.3">
      <c r="A76" s="109">
        <v>52</v>
      </c>
      <c r="B76" s="58">
        <f t="shared" si="5"/>
        <v>8310768</v>
      </c>
      <c r="C76" s="116">
        <f t="shared" si="6"/>
        <v>34597</v>
      </c>
      <c r="D76" s="117">
        <f t="shared" si="7"/>
        <v>20863</v>
      </c>
      <c r="E76" s="116">
        <f t="shared" si="16"/>
        <v>33607.973932916655</v>
      </c>
      <c r="F76" s="116">
        <f t="shared" si="1"/>
        <v>55460</v>
      </c>
      <c r="G76" s="117">
        <v>0</v>
      </c>
      <c r="H76" s="116">
        <f t="shared" si="8"/>
        <v>55460</v>
      </c>
      <c r="I76" s="116">
        <f t="shared" si="2"/>
        <v>55785</v>
      </c>
      <c r="J76" s="119">
        <f t="shared" si="3"/>
        <v>57996</v>
      </c>
      <c r="K76" s="119">
        <f t="shared" si="4"/>
        <v>60598</v>
      </c>
      <c r="L76" s="110"/>
      <c r="M76" s="110"/>
      <c r="N76" s="110"/>
      <c r="O76" s="110"/>
      <c r="P76" s="110"/>
      <c r="Q76" s="110"/>
      <c r="R76" s="110"/>
    </row>
    <row r="77" spans="1:23" x14ac:dyDescent="0.3">
      <c r="A77" s="109">
        <v>53</v>
      </c>
      <c r="B77" s="58">
        <f t="shared" si="5"/>
        <v>8276085</v>
      </c>
      <c r="C77" s="116">
        <f t="shared" si="6"/>
        <v>34683</v>
      </c>
      <c r="D77" s="117">
        <f t="shared" si="7"/>
        <v>20777</v>
      </c>
      <c r="E77" s="116">
        <f t="shared" si="16"/>
        <v>33607.973932916655</v>
      </c>
      <c r="F77" s="116">
        <f t="shared" si="1"/>
        <v>55460</v>
      </c>
      <c r="G77" s="117">
        <v>0</v>
      </c>
      <c r="H77" s="116">
        <f t="shared" si="8"/>
        <v>55460</v>
      </c>
      <c r="I77" s="116">
        <f t="shared" si="2"/>
        <v>55785</v>
      </c>
      <c r="J77" s="119">
        <f t="shared" si="3"/>
        <v>57996</v>
      </c>
      <c r="K77" s="119">
        <f t="shared" si="4"/>
        <v>60598</v>
      </c>
      <c r="L77" s="110"/>
      <c r="M77" s="110"/>
      <c r="N77" s="110"/>
      <c r="O77" s="110"/>
      <c r="P77" s="110"/>
      <c r="Q77" s="110"/>
      <c r="R77" s="110"/>
    </row>
    <row r="78" spans="1:23" x14ac:dyDescent="0.3">
      <c r="A78" s="109">
        <v>54</v>
      </c>
      <c r="B78" s="58">
        <f t="shared" si="5"/>
        <v>8241315</v>
      </c>
      <c r="C78" s="116">
        <f t="shared" si="6"/>
        <v>34770</v>
      </c>
      <c r="D78" s="117">
        <f t="shared" si="7"/>
        <v>20690</v>
      </c>
      <c r="E78" s="116">
        <f t="shared" si="16"/>
        <v>33607.973932916655</v>
      </c>
      <c r="F78" s="116">
        <f t="shared" si="1"/>
        <v>55460</v>
      </c>
      <c r="G78" s="117">
        <v>0</v>
      </c>
      <c r="H78" s="116">
        <f t="shared" si="8"/>
        <v>55460</v>
      </c>
      <c r="I78" s="116">
        <f t="shared" si="2"/>
        <v>55785</v>
      </c>
      <c r="J78" s="119">
        <f t="shared" si="3"/>
        <v>57996</v>
      </c>
      <c r="K78" s="119">
        <f t="shared" si="4"/>
        <v>60598</v>
      </c>
      <c r="L78" s="110"/>
      <c r="M78" s="110"/>
      <c r="N78" s="110"/>
      <c r="O78" s="110"/>
      <c r="P78" s="110"/>
      <c r="Q78" s="110"/>
      <c r="R78" s="110"/>
    </row>
    <row r="79" spans="1:23" x14ac:dyDescent="0.3">
      <c r="A79" s="109">
        <v>55</v>
      </c>
      <c r="B79" s="58">
        <f t="shared" si="5"/>
        <v>8206458</v>
      </c>
      <c r="C79" s="116">
        <f t="shared" si="6"/>
        <v>34857</v>
      </c>
      <c r="D79" s="117">
        <f t="shared" si="7"/>
        <v>20603</v>
      </c>
      <c r="E79" s="116">
        <f t="shared" si="16"/>
        <v>33607.973932916655</v>
      </c>
      <c r="F79" s="116">
        <f t="shared" si="1"/>
        <v>55460</v>
      </c>
      <c r="G79" s="117">
        <v>0</v>
      </c>
      <c r="H79" s="116">
        <f t="shared" si="8"/>
        <v>55460</v>
      </c>
      <c r="I79" s="116">
        <f t="shared" si="2"/>
        <v>55785</v>
      </c>
      <c r="J79" s="119">
        <f t="shared" si="3"/>
        <v>57996</v>
      </c>
      <c r="K79" s="119">
        <f t="shared" si="4"/>
        <v>60598</v>
      </c>
      <c r="L79" s="110"/>
      <c r="M79" s="110"/>
      <c r="N79" s="110"/>
      <c r="O79" s="110"/>
      <c r="P79" s="110"/>
      <c r="Q79" s="110"/>
      <c r="R79" s="110"/>
    </row>
    <row r="80" spans="1:23" x14ac:dyDescent="0.3">
      <c r="A80" s="109">
        <v>56</v>
      </c>
      <c r="B80" s="58">
        <f t="shared" si="5"/>
        <v>8171514</v>
      </c>
      <c r="C80" s="116">
        <f t="shared" si="6"/>
        <v>34944</v>
      </c>
      <c r="D80" s="117">
        <f t="shared" si="7"/>
        <v>20516</v>
      </c>
      <c r="E80" s="116">
        <f t="shared" si="16"/>
        <v>33607.973932916655</v>
      </c>
      <c r="F80" s="116">
        <f t="shared" si="1"/>
        <v>55460</v>
      </c>
      <c r="G80" s="117">
        <v>0</v>
      </c>
      <c r="H80" s="116">
        <f t="shared" si="8"/>
        <v>55460</v>
      </c>
      <c r="I80" s="116">
        <f t="shared" si="2"/>
        <v>55785</v>
      </c>
      <c r="J80" s="119">
        <f t="shared" si="3"/>
        <v>57996</v>
      </c>
      <c r="K80" s="119">
        <f t="shared" si="4"/>
        <v>60598</v>
      </c>
      <c r="L80" s="110"/>
      <c r="M80" s="110"/>
      <c r="N80" s="110"/>
      <c r="O80" s="110"/>
      <c r="P80" s="110"/>
      <c r="Q80" s="110"/>
      <c r="R80" s="110"/>
    </row>
    <row r="81" spans="1:256" x14ac:dyDescent="0.3">
      <c r="A81" s="109">
        <v>57</v>
      </c>
      <c r="B81" s="58">
        <f t="shared" si="5"/>
        <v>8136483</v>
      </c>
      <c r="C81" s="116">
        <f t="shared" si="6"/>
        <v>35031</v>
      </c>
      <c r="D81" s="117">
        <f t="shared" si="7"/>
        <v>20429</v>
      </c>
      <c r="E81" s="116">
        <f t="shared" si="16"/>
        <v>33607.973932916655</v>
      </c>
      <c r="F81" s="116">
        <f t="shared" si="1"/>
        <v>55460</v>
      </c>
      <c r="G81" s="117">
        <v>0</v>
      </c>
      <c r="H81" s="116">
        <f t="shared" si="8"/>
        <v>55460</v>
      </c>
      <c r="I81" s="116">
        <f t="shared" si="2"/>
        <v>55785</v>
      </c>
      <c r="J81" s="119">
        <f t="shared" si="3"/>
        <v>57996</v>
      </c>
      <c r="K81" s="119">
        <f t="shared" si="4"/>
        <v>60598</v>
      </c>
      <c r="L81" s="110"/>
      <c r="M81" s="110"/>
      <c r="N81" s="110"/>
      <c r="O81" s="110"/>
      <c r="P81" s="110"/>
      <c r="Q81" s="110"/>
      <c r="R81" s="110"/>
    </row>
    <row r="82" spans="1:256" x14ac:dyDescent="0.3">
      <c r="A82" s="109">
        <v>58</v>
      </c>
      <c r="B82" s="58">
        <f t="shared" si="5"/>
        <v>8101364</v>
      </c>
      <c r="C82" s="116">
        <f t="shared" si="6"/>
        <v>35119</v>
      </c>
      <c r="D82" s="117">
        <f t="shared" si="7"/>
        <v>20341</v>
      </c>
      <c r="E82" s="116">
        <f t="shared" si="16"/>
        <v>33607.973932916655</v>
      </c>
      <c r="F82" s="116">
        <f t="shared" si="1"/>
        <v>55460</v>
      </c>
      <c r="G82" s="117">
        <v>0</v>
      </c>
      <c r="H82" s="116">
        <f t="shared" si="8"/>
        <v>55460</v>
      </c>
      <c r="I82" s="116">
        <f t="shared" si="2"/>
        <v>55785</v>
      </c>
      <c r="J82" s="119">
        <f t="shared" si="3"/>
        <v>57996</v>
      </c>
      <c r="K82" s="119">
        <f t="shared" si="4"/>
        <v>60598</v>
      </c>
      <c r="L82" s="110"/>
      <c r="M82" s="110"/>
      <c r="N82" s="110"/>
      <c r="O82" s="110"/>
      <c r="P82" s="110"/>
      <c r="Q82" s="110"/>
      <c r="R82" s="110"/>
    </row>
    <row r="83" spans="1:256" x14ac:dyDescent="0.3">
      <c r="A83" s="109">
        <v>59</v>
      </c>
      <c r="B83" s="58">
        <f t="shared" si="5"/>
        <v>8066157</v>
      </c>
      <c r="C83" s="116">
        <f t="shared" si="6"/>
        <v>35207</v>
      </c>
      <c r="D83" s="117">
        <f t="shared" si="7"/>
        <v>20253</v>
      </c>
      <c r="E83" s="116">
        <f t="shared" si="16"/>
        <v>33607.973932916655</v>
      </c>
      <c r="F83" s="116">
        <f t="shared" si="1"/>
        <v>55460</v>
      </c>
      <c r="G83" s="117">
        <v>0</v>
      </c>
      <c r="H83" s="116">
        <f t="shared" si="8"/>
        <v>55460</v>
      </c>
      <c r="I83" s="116">
        <f t="shared" si="2"/>
        <v>55785</v>
      </c>
      <c r="J83" s="119">
        <f t="shared" si="3"/>
        <v>57996</v>
      </c>
      <c r="K83" s="119">
        <f t="shared" si="4"/>
        <v>60598</v>
      </c>
      <c r="L83" s="110"/>
      <c r="M83" s="110"/>
      <c r="N83" s="110"/>
      <c r="O83" s="110"/>
      <c r="P83" s="110"/>
      <c r="Q83" s="110"/>
      <c r="R83" s="110"/>
    </row>
    <row r="84" spans="1:256" s="127" customFormat="1" x14ac:dyDescent="0.3">
      <c r="A84" s="109">
        <v>60</v>
      </c>
      <c r="B84" s="58">
        <f t="shared" si="5"/>
        <v>8030862</v>
      </c>
      <c r="C84" s="116">
        <f t="shared" si="6"/>
        <v>35295</v>
      </c>
      <c r="D84" s="117">
        <f t="shared" si="7"/>
        <v>20165</v>
      </c>
      <c r="E84" s="116">
        <f t="shared" si="16"/>
        <v>33607.973932916655</v>
      </c>
      <c r="F84" s="116">
        <f t="shared" si="1"/>
        <v>55460</v>
      </c>
      <c r="G84" s="117">
        <v>0</v>
      </c>
      <c r="H84" s="116">
        <f t="shared" si="8"/>
        <v>55460</v>
      </c>
      <c r="I84" s="116">
        <f t="shared" si="2"/>
        <v>55785</v>
      </c>
      <c r="J84" s="119">
        <f t="shared" si="3"/>
        <v>57996</v>
      </c>
      <c r="K84" s="119">
        <f t="shared" si="4"/>
        <v>60598</v>
      </c>
      <c r="L84" s="126">
        <f t="shared" ref="L84:Q84" si="17">SUM(C73:C84)</f>
        <v>417775</v>
      </c>
      <c r="M84" s="126">
        <f t="shared" si="17"/>
        <v>247745</v>
      </c>
      <c r="N84" s="126">
        <f t="shared" si="17"/>
        <v>403295.68719499983</v>
      </c>
      <c r="O84" s="126">
        <f t="shared" si="17"/>
        <v>665520</v>
      </c>
      <c r="P84" s="126">
        <f t="shared" si="17"/>
        <v>0</v>
      </c>
      <c r="Q84" s="126">
        <f t="shared" si="17"/>
        <v>665520</v>
      </c>
      <c r="R84" s="126">
        <f>SUM(J73:J84)</f>
        <v>695952</v>
      </c>
      <c r="S84" s="126">
        <f>SUM(K73:K84)</f>
        <v>727176</v>
      </c>
      <c r="T84" s="126"/>
      <c r="U84" s="126"/>
      <c r="V84" s="126"/>
      <c r="W84" s="126"/>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row>
    <row r="85" spans="1:256" x14ac:dyDescent="0.3">
      <c r="A85" s="109">
        <v>61</v>
      </c>
      <c r="B85" s="58">
        <f t="shared" si="5"/>
        <v>7995479</v>
      </c>
      <c r="C85" s="116">
        <f t="shared" si="6"/>
        <v>35383</v>
      </c>
      <c r="D85" s="117">
        <f t="shared" si="7"/>
        <v>20077</v>
      </c>
      <c r="E85" s="116">
        <f t="shared" ref="E85:E96" si="18">IF(A85&gt;$C$3,0,$B$84*($C$5/12))</f>
        <v>31946.099797499988</v>
      </c>
      <c r="F85" s="116">
        <f t="shared" si="1"/>
        <v>55460</v>
      </c>
      <c r="G85" s="117">
        <v>0</v>
      </c>
      <c r="H85" s="116">
        <f t="shared" si="8"/>
        <v>55460</v>
      </c>
      <c r="I85" s="116">
        <f t="shared" si="2"/>
        <v>55785</v>
      </c>
      <c r="J85" s="119">
        <f t="shared" si="3"/>
        <v>57996</v>
      </c>
      <c r="K85" s="119">
        <f t="shared" si="4"/>
        <v>60598</v>
      </c>
      <c r="L85" s="110"/>
      <c r="M85" s="110"/>
      <c r="N85" s="110"/>
      <c r="O85" s="110"/>
      <c r="P85" s="110"/>
      <c r="Q85" s="110"/>
      <c r="R85" s="110"/>
    </row>
    <row r="86" spans="1:256" x14ac:dyDescent="0.3">
      <c r="A86" s="109">
        <v>62</v>
      </c>
      <c r="B86" s="58">
        <f t="shared" si="5"/>
        <v>7960008</v>
      </c>
      <c r="C86" s="116">
        <f t="shared" si="6"/>
        <v>35471</v>
      </c>
      <c r="D86" s="117">
        <f t="shared" si="7"/>
        <v>19989</v>
      </c>
      <c r="E86" s="116">
        <f t="shared" si="18"/>
        <v>31946.099797499988</v>
      </c>
      <c r="F86" s="116">
        <f t="shared" si="1"/>
        <v>55460</v>
      </c>
      <c r="G86" s="117">
        <v>0</v>
      </c>
      <c r="H86" s="116">
        <f t="shared" si="8"/>
        <v>55460</v>
      </c>
      <c r="I86" s="116">
        <f t="shared" si="2"/>
        <v>55785</v>
      </c>
      <c r="J86" s="119">
        <f t="shared" si="3"/>
        <v>57996</v>
      </c>
      <c r="K86" s="119">
        <f t="shared" si="4"/>
        <v>60598</v>
      </c>
      <c r="L86" s="110"/>
      <c r="M86" s="110"/>
      <c r="N86" s="110"/>
      <c r="O86" s="110"/>
      <c r="P86" s="110"/>
      <c r="Q86" s="110"/>
      <c r="R86" s="110"/>
    </row>
    <row r="87" spans="1:256" x14ac:dyDescent="0.3">
      <c r="A87" s="109">
        <v>63</v>
      </c>
      <c r="B87" s="58">
        <f t="shared" si="5"/>
        <v>7924448</v>
      </c>
      <c r="C87" s="116">
        <f t="shared" si="6"/>
        <v>35560</v>
      </c>
      <c r="D87" s="117">
        <f t="shared" si="7"/>
        <v>19900</v>
      </c>
      <c r="E87" s="116">
        <f t="shared" si="18"/>
        <v>31946.099797499988</v>
      </c>
      <c r="F87" s="116">
        <f t="shared" si="1"/>
        <v>55460</v>
      </c>
      <c r="G87" s="117">
        <v>0</v>
      </c>
      <c r="H87" s="116">
        <f t="shared" si="8"/>
        <v>55460</v>
      </c>
      <c r="I87" s="116">
        <f t="shared" si="2"/>
        <v>55785</v>
      </c>
      <c r="J87" s="119">
        <f t="shared" si="3"/>
        <v>57996</v>
      </c>
      <c r="K87" s="119">
        <f t="shared" si="4"/>
        <v>60598</v>
      </c>
      <c r="L87" s="110"/>
      <c r="M87" s="110"/>
      <c r="N87" s="110"/>
      <c r="O87" s="110"/>
      <c r="P87" s="110"/>
      <c r="Q87" s="110"/>
      <c r="R87" s="110"/>
    </row>
    <row r="88" spans="1:256" x14ac:dyDescent="0.3">
      <c r="A88" s="109">
        <v>64</v>
      </c>
      <c r="B88" s="58">
        <f t="shared" si="5"/>
        <v>7888799</v>
      </c>
      <c r="C88" s="116">
        <f t="shared" si="6"/>
        <v>35649</v>
      </c>
      <c r="D88" s="117">
        <f t="shared" si="7"/>
        <v>19811</v>
      </c>
      <c r="E88" s="116">
        <f t="shared" si="18"/>
        <v>31946.099797499988</v>
      </c>
      <c r="F88" s="116">
        <f t="shared" si="1"/>
        <v>55460</v>
      </c>
      <c r="G88" s="117">
        <v>0</v>
      </c>
      <c r="H88" s="116">
        <f t="shared" si="8"/>
        <v>55460</v>
      </c>
      <c r="I88" s="116">
        <f t="shared" si="2"/>
        <v>55785</v>
      </c>
      <c r="J88" s="119">
        <f t="shared" si="3"/>
        <v>57996</v>
      </c>
      <c r="K88" s="119">
        <f t="shared" si="4"/>
        <v>60598</v>
      </c>
      <c r="L88" s="110"/>
      <c r="M88" s="110"/>
      <c r="N88" s="110"/>
      <c r="O88" s="110"/>
      <c r="P88" s="110"/>
      <c r="Q88" s="110"/>
      <c r="R88" s="110"/>
    </row>
    <row r="89" spans="1:256" x14ac:dyDescent="0.3">
      <c r="A89" s="109">
        <v>65</v>
      </c>
      <c r="B89" s="58">
        <f t="shared" si="5"/>
        <v>7853061</v>
      </c>
      <c r="C89" s="116">
        <f t="shared" si="6"/>
        <v>35738</v>
      </c>
      <c r="D89" s="117">
        <f t="shared" si="7"/>
        <v>19722</v>
      </c>
      <c r="E89" s="116">
        <f t="shared" si="18"/>
        <v>31946.099797499988</v>
      </c>
      <c r="F89" s="116">
        <f t="shared" ref="F89:F152" si="19">ROUND(IF(A89&gt;$G$6,(IF(A89&gt;=$C$3,B88+D89,PMT($C$4/12,$C$3-$G$6,-$B$24))),D89),0)</f>
        <v>55460</v>
      </c>
      <c r="G89" s="117">
        <v>0</v>
      </c>
      <c r="H89" s="116">
        <f t="shared" si="8"/>
        <v>55460</v>
      </c>
      <c r="I89" s="116">
        <f t="shared" ref="I89:I152" si="20">IF(A89&lt;=$C$3,H89+$C$17,0)</f>
        <v>55785</v>
      </c>
      <c r="J89" s="119">
        <f t="shared" ref="J89:J152" si="21">ROUND(IF(A89&gt;$G$6,(IF(A89&gt;=$C$3,B88+D89,PMT($L$12/12,$C$3-$G$6,-$B$24))),D89),0)</f>
        <v>57996</v>
      </c>
      <c r="K89" s="119">
        <f t="shared" ref="K89:K152" si="22">ROUND(IF(A89&gt;$G$6,(IF(A89&gt;=$C$3,B88+D89,PMT($L$13/12,$C$3-$G$6,-$B$24))),D89),0)</f>
        <v>60598</v>
      </c>
      <c r="L89" s="110"/>
      <c r="M89" s="110"/>
      <c r="N89" s="110"/>
      <c r="O89" s="110"/>
      <c r="P89" s="110"/>
      <c r="Q89" s="110"/>
      <c r="R89" s="110"/>
    </row>
    <row r="90" spans="1:256" x14ac:dyDescent="0.3">
      <c r="A90" s="109">
        <v>66</v>
      </c>
      <c r="B90" s="58">
        <f t="shared" ref="B90:B153" si="23">B89-C90</f>
        <v>7817234</v>
      </c>
      <c r="C90" s="116">
        <f t="shared" ref="C90:C153" si="24">+F90-D90</f>
        <v>35827</v>
      </c>
      <c r="D90" s="117">
        <f t="shared" ref="D90:D153" si="25">ROUND(IF(A90&gt;$G$6,B89*$C$4*30/360,0),0)</f>
        <v>19633</v>
      </c>
      <c r="E90" s="116">
        <f t="shared" si="18"/>
        <v>31946.099797499988</v>
      </c>
      <c r="F90" s="116">
        <f t="shared" si="19"/>
        <v>55460</v>
      </c>
      <c r="G90" s="117">
        <v>0</v>
      </c>
      <c r="H90" s="116">
        <f t="shared" si="8"/>
        <v>55460</v>
      </c>
      <c r="I90" s="116">
        <f t="shared" si="20"/>
        <v>55785</v>
      </c>
      <c r="J90" s="119">
        <f t="shared" si="21"/>
        <v>57996</v>
      </c>
      <c r="K90" s="119">
        <f t="shared" si="22"/>
        <v>60598</v>
      </c>
      <c r="L90" s="110"/>
      <c r="M90" s="110"/>
      <c r="N90" s="110"/>
      <c r="O90" s="110"/>
      <c r="P90" s="110"/>
      <c r="Q90" s="110"/>
      <c r="R90" s="110"/>
    </row>
    <row r="91" spans="1:256" x14ac:dyDescent="0.3">
      <c r="A91" s="109">
        <v>67</v>
      </c>
      <c r="B91" s="58">
        <f t="shared" si="23"/>
        <v>7781317</v>
      </c>
      <c r="C91" s="116">
        <f t="shared" si="24"/>
        <v>35917</v>
      </c>
      <c r="D91" s="117">
        <f t="shared" si="25"/>
        <v>19543</v>
      </c>
      <c r="E91" s="116">
        <f t="shared" si="18"/>
        <v>31946.099797499988</v>
      </c>
      <c r="F91" s="116">
        <f t="shared" si="19"/>
        <v>55460</v>
      </c>
      <c r="G91" s="117">
        <v>0</v>
      </c>
      <c r="H91" s="116">
        <f t="shared" ref="H91:H154" si="26">F91+G91</f>
        <v>55460</v>
      </c>
      <c r="I91" s="116">
        <f t="shared" si="20"/>
        <v>55785</v>
      </c>
      <c r="J91" s="119">
        <f t="shared" si="21"/>
        <v>57996</v>
      </c>
      <c r="K91" s="119">
        <f t="shared" si="22"/>
        <v>60598</v>
      </c>
      <c r="L91" s="110"/>
      <c r="M91" s="110"/>
      <c r="N91" s="110"/>
      <c r="O91" s="110"/>
      <c r="P91" s="110"/>
      <c r="Q91" s="110"/>
      <c r="R91" s="110"/>
    </row>
    <row r="92" spans="1:256" x14ac:dyDescent="0.3">
      <c r="A92" s="109">
        <v>68</v>
      </c>
      <c r="B92" s="58">
        <f t="shared" si="23"/>
        <v>7745310</v>
      </c>
      <c r="C92" s="116">
        <f t="shared" si="24"/>
        <v>36007</v>
      </c>
      <c r="D92" s="117">
        <f t="shared" si="25"/>
        <v>19453</v>
      </c>
      <c r="E92" s="116">
        <f t="shared" si="18"/>
        <v>31946.099797499988</v>
      </c>
      <c r="F92" s="116">
        <f t="shared" si="19"/>
        <v>55460</v>
      </c>
      <c r="G92" s="117">
        <v>0</v>
      </c>
      <c r="H92" s="116">
        <f t="shared" si="26"/>
        <v>55460</v>
      </c>
      <c r="I92" s="116">
        <f t="shared" si="20"/>
        <v>55785</v>
      </c>
      <c r="J92" s="119">
        <f t="shared" si="21"/>
        <v>57996</v>
      </c>
      <c r="K92" s="119">
        <f t="shared" si="22"/>
        <v>60598</v>
      </c>
      <c r="L92" s="110"/>
      <c r="M92" s="110"/>
      <c r="N92" s="110"/>
      <c r="O92" s="110"/>
      <c r="P92" s="110"/>
      <c r="Q92" s="110"/>
      <c r="R92" s="110"/>
    </row>
    <row r="93" spans="1:256" x14ac:dyDescent="0.3">
      <c r="A93" s="109">
        <v>69</v>
      </c>
      <c r="B93" s="58">
        <f t="shared" si="23"/>
        <v>7709213</v>
      </c>
      <c r="C93" s="116">
        <f t="shared" si="24"/>
        <v>36097</v>
      </c>
      <c r="D93" s="117">
        <f t="shared" si="25"/>
        <v>19363</v>
      </c>
      <c r="E93" s="116">
        <f t="shared" si="18"/>
        <v>31946.099797499988</v>
      </c>
      <c r="F93" s="116">
        <f t="shared" si="19"/>
        <v>55460</v>
      </c>
      <c r="G93" s="117">
        <v>0</v>
      </c>
      <c r="H93" s="116">
        <f t="shared" si="26"/>
        <v>55460</v>
      </c>
      <c r="I93" s="116">
        <f t="shared" si="20"/>
        <v>55785</v>
      </c>
      <c r="J93" s="119">
        <f t="shared" si="21"/>
        <v>57996</v>
      </c>
      <c r="K93" s="119">
        <f t="shared" si="22"/>
        <v>60598</v>
      </c>
      <c r="L93" s="110"/>
      <c r="M93" s="110"/>
      <c r="N93" s="110"/>
      <c r="O93" s="110"/>
      <c r="P93" s="110"/>
      <c r="Q93" s="110"/>
      <c r="R93" s="110"/>
    </row>
    <row r="94" spans="1:256" x14ac:dyDescent="0.3">
      <c r="A94" s="109">
        <v>70</v>
      </c>
      <c r="B94" s="58">
        <f t="shared" si="23"/>
        <v>7673026</v>
      </c>
      <c r="C94" s="116">
        <f t="shared" si="24"/>
        <v>36187</v>
      </c>
      <c r="D94" s="117">
        <f t="shared" si="25"/>
        <v>19273</v>
      </c>
      <c r="E94" s="116">
        <f t="shared" si="18"/>
        <v>31946.099797499988</v>
      </c>
      <c r="F94" s="116">
        <f t="shared" si="19"/>
        <v>55460</v>
      </c>
      <c r="G94" s="117">
        <v>0</v>
      </c>
      <c r="H94" s="116">
        <f t="shared" si="26"/>
        <v>55460</v>
      </c>
      <c r="I94" s="116">
        <f t="shared" si="20"/>
        <v>55785</v>
      </c>
      <c r="J94" s="119">
        <f t="shared" si="21"/>
        <v>57996</v>
      </c>
      <c r="K94" s="119">
        <f t="shared" si="22"/>
        <v>60598</v>
      </c>
      <c r="L94" s="110"/>
      <c r="M94" s="110"/>
      <c r="N94" s="110"/>
      <c r="O94" s="110"/>
      <c r="P94" s="110"/>
      <c r="Q94" s="110"/>
      <c r="R94" s="110"/>
    </row>
    <row r="95" spans="1:256" x14ac:dyDescent="0.3">
      <c r="A95" s="109">
        <v>71</v>
      </c>
      <c r="B95" s="58">
        <f t="shared" si="23"/>
        <v>7636749</v>
      </c>
      <c r="C95" s="116">
        <f t="shared" si="24"/>
        <v>36277</v>
      </c>
      <c r="D95" s="117">
        <f t="shared" si="25"/>
        <v>19183</v>
      </c>
      <c r="E95" s="116">
        <f t="shared" si="18"/>
        <v>31946.099797499988</v>
      </c>
      <c r="F95" s="116">
        <f t="shared" si="19"/>
        <v>55460</v>
      </c>
      <c r="G95" s="117">
        <v>0</v>
      </c>
      <c r="H95" s="116">
        <f t="shared" si="26"/>
        <v>55460</v>
      </c>
      <c r="I95" s="116">
        <f t="shared" si="20"/>
        <v>55785</v>
      </c>
      <c r="J95" s="119">
        <f t="shared" si="21"/>
        <v>57996</v>
      </c>
      <c r="K95" s="119">
        <f t="shared" si="22"/>
        <v>60598</v>
      </c>
      <c r="L95" s="110"/>
      <c r="M95" s="110"/>
      <c r="N95" s="110"/>
      <c r="O95" s="110"/>
      <c r="P95" s="110"/>
      <c r="Q95" s="110"/>
      <c r="R95" s="110"/>
    </row>
    <row r="96" spans="1:256" x14ac:dyDescent="0.3">
      <c r="A96" s="109">
        <v>72</v>
      </c>
      <c r="B96" s="58">
        <f t="shared" si="23"/>
        <v>7600381</v>
      </c>
      <c r="C96" s="116">
        <f t="shared" si="24"/>
        <v>36368</v>
      </c>
      <c r="D96" s="117">
        <f t="shared" si="25"/>
        <v>19092</v>
      </c>
      <c r="E96" s="116">
        <f t="shared" si="18"/>
        <v>31946.099797499988</v>
      </c>
      <c r="F96" s="116">
        <f t="shared" si="19"/>
        <v>55460</v>
      </c>
      <c r="G96" s="117">
        <v>0</v>
      </c>
      <c r="H96" s="116">
        <f t="shared" si="26"/>
        <v>55460</v>
      </c>
      <c r="I96" s="116">
        <f t="shared" si="20"/>
        <v>55785</v>
      </c>
      <c r="J96" s="119">
        <f t="shared" si="21"/>
        <v>57996</v>
      </c>
      <c r="K96" s="119">
        <f t="shared" si="22"/>
        <v>60598</v>
      </c>
      <c r="L96" s="58">
        <f t="shared" ref="L96:Q96" si="27">SUM(C85:C96)</f>
        <v>430481</v>
      </c>
      <c r="M96" s="58">
        <f t="shared" si="27"/>
        <v>235039</v>
      </c>
      <c r="N96" s="58">
        <f t="shared" si="27"/>
        <v>383353.1975699999</v>
      </c>
      <c r="O96" s="58">
        <f t="shared" si="27"/>
        <v>665520</v>
      </c>
      <c r="P96" s="58">
        <f t="shared" si="27"/>
        <v>0</v>
      </c>
      <c r="Q96" s="58">
        <f t="shared" si="27"/>
        <v>665520</v>
      </c>
      <c r="R96" s="58">
        <f>SUM(J85:J96)</f>
        <v>695952</v>
      </c>
      <c r="S96" s="29">
        <f>SUM(K85:K96)</f>
        <v>727176</v>
      </c>
      <c r="T96" s="29"/>
      <c r="U96" s="29"/>
      <c r="V96" s="29"/>
      <c r="W96" s="29"/>
    </row>
    <row r="97" spans="1:23" x14ac:dyDescent="0.3">
      <c r="A97" s="109">
        <v>73</v>
      </c>
      <c r="B97" s="58">
        <f t="shared" si="23"/>
        <v>7563922</v>
      </c>
      <c r="C97" s="116">
        <f t="shared" si="24"/>
        <v>36459</v>
      </c>
      <c r="D97" s="117">
        <f t="shared" si="25"/>
        <v>19001</v>
      </c>
      <c r="E97" s="116">
        <f t="shared" ref="E97:E108" si="28">IF(A97&gt;$C$3,0,$B$96*($C$5/12))</f>
        <v>30233.682252916657</v>
      </c>
      <c r="F97" s="116">
        <f t="shared" si="19"/>
        <v>55460</v>
      </c>
      <c r="G97" s="117">
        <v>0</v>
      </c>
      <c r="H97" s="116">
        <f t="shared" si="26"/>
        <v>55460</v>
      </c>
      <c r="I97" s="116">
        <f t="shared" si="20"/>
        <v>55785</v>
      </c>
      <c r="J97" s="119">
        <f t="shared" si="21"/>
        <v>57996</v>
      </c>
      <c r="K97" s="119">
        <f t="shared" si="22"/>
        <v>60598</v>
      </c>
      <c r="L97" s="110"/>
      <c r="M97" s="110"/>
      <c r="N97" s="110"/>
      <c r="O97" s="110"/>
      <c r="P97" s="110"/>
      <c r="Q97" s="110"/>
      <c r="R97" s="110"/>
    </row>
    <row r="98" spans="1:23" x14ac:dyDescent="0.3">
      <c r="A98" s="109">
        <v>74</v>
      </c>
      <c r="B98" s="58">
        <f t="shared" si="23"/>
        <v>7527372</v>
      </c>
      <c r="C98" s="116">
        <f t="shared" si="24"/>
        <v>36550</v>
      </c>
      <c r="D98" s="117">
        <f t="shared" si="25"/>
        <v>18910</v>
      </c>
      <c r="E98" s="116">
        <f t="shared" si="28"/>
        <v>30233.682252916657</v>
      </c>
      <c r="F98" s="116">
        <f t="shared" si="19"/>
        <v>55460</v>
      </c>
      <c r="G98" s="117">
        <v>0</v>
      </c>
      <c r="H98" s="116">
        <f t="shared" si="26"/>
        <v>55460</v>
      </c>
      <c r="I98" s="116">
        <f t="shared" si="20"/>
        <v>55785</v>
      </c>
      <c r="J98" s="119">
        <f t="shared" si="21"/>
        <v>57996</v>
      </c>
      <c r="K98" s="119">
        <f t="shared" si="22"/>
        <v>60598</v>
      </c>
      <c r="L98" s="110"/>
      <c r="M98" s="110"/>
      <c r="N98" s="110"/>
      <c r="O98" s="110"/>
      <c r="P98" s="110"/>
      <c r="Q98" s="110"/>
      <c r="R98" s="110"/>
    </row>
    <row r="99" spans="1:23" x14ac:dyDescent="0.3">
      <c r="A99" s="109">
        <v>75</v>
      </c>
      <c r="B99" s="58">
        <f t="shared" si="23"/>
        <v>7490730</v>
      </c>
      <c r="C99" s="116">
        <f t="shared" si="24"/>
        <v>36642</v>
      </c>
      <c r="D99" s="117">
        <f t="shared" si="25"/>
        <v>18818</v>
      </c>
      <c r="E99" s="116">
        <f t="shared" si="28"/>
        <v>30233.682252916657</v>
      </c>
      <c r="F99" s="116">
        <f t="shared" si="19"/>
        <v>55460</v>
      </c>
      <c r="G99" s="117">
        <v>0</v>
      </c>
      <c r="H99" s="116">
        <f t="shared" si="26"/>
        <v>55460</v>
      </c>
      <c r="I99" s="116">
        <f t="shared" si="20"/>
        <v>55785</v>
      </c>
      <c r="J99" s="119">
        <f t="shared" si="21"/>
        <v>57996</v>
      </c>
      <c r="K99" s="119">
        <f t="shared" si="22"/>
        <v>60598</v>
      </c>
      <c r="L99" s="110"/>
      <c r="M99" s="110"/>
      <c r="N99" s="110"/>
      <c r="O99" s="110"/>
      <c r="P99" s="110"/>
      <c r="Q99" s="110"/>
      <c r="R99" s="110"/>
    </row>
    <row r="100" spans="1:23" x14ac:dyDescent="0.3">
      <c r="A100" s="109">
        <v>76</v>
      </c>
      <c r="B100" s="58">
        <f t="shared" si="23"/>
        <v>7453997</v>
      </c>
      <c r="C100" s="116">
        <f t="shared" si="24"/>
        <v>36733</v>
      </c>
      <c r="D100" s="117">
        <f t="shared" si="25"/>
        <v>18727</v>
      </c>
      <c r="E100" s="116">
        <f t="shared" si="28"/>
        <v>30233.682252916657</v>
      </c>
      <c r="F100" s="116">
        <f t="shared" si="19"/>
        <v>55460</v>
      </c>
      <c r="G100" s="117">
        <v>0</v>
      </c>
      <c r="H100" s="116">
        <f t="shared" si="26"/>
        <v>55460</v>
      </c>
      <c r="I100" s="116">
        <f t="shared" si="20"/>
        <v>55785</v>
      </c>
      <c r="J100" s="119">
        <f t="shared" si="21"/>
        <v>57996</v>
      </c>
      <c r="K100" s="119">
        <f t="shared" si="22"/>
        <v>60598</v>
      </c>
      <c r="L100" s="110"/>
      <c r="M100" s="110"/>
      <c r="N100" s="110"/>
      <c r="O100" s="110"/>
      <c r="P100" s="110"/>
      <c r="Q100" s="110"/>
      <c r="R100" s="110"/>
    </row>
    <row r="101" spans="1:23" x14ac:dyDescent="0.3">
      <c r="A101" s="109">
        <v>77</v>
      </c>
      <c r="B101" s="58">
        <f t="shared" si="23"/>
        <v>7417172</v>
      </c>
      <c r="C101" s="116">
        <f t="shared" si="24"/>
        <v>36825</v>
      </c>
      <c r="D101" s="117">
        <f t="shared" si="25"/>
        <v>18635</v>
      </c>
      <c r="E101" s="116">
        <f t="shared" si="28"/>
        <v>30233.682252916657</v>
      </c>
      <c r="F101" s="116">
        <f t="shared" si="19"/>
        <v>55460</v>
      </c>
      <c r="G101" s="117">
        <v>0</v>
      </c>
      <c r="H101" s="116">
        <f t="shared" si="26"/>
        <v>55460</v>
      </c>
      <c r="I101" s="116">
        <f t="shared" si="20"/>
        <v>55785</v>
      </c>
      <c r="J101" s="119">
        <f t="shared" si="21"/>
        <v>57996</v>
      </c>
      <c r="K101" s="119">
        <f t="shared" si="22"/>
        <v>60598</v>
      </c>
      <c r="L101" s="110"/>
      <c r="M101" s="110"/>
      <c r="N101" s="110"/>
      <c r="O101" s="110"/>
      <c r="P101" s="110"/>
      <c r="Q101" s="110"/>
      <c r="R101" s="110"/>
    </row>
    <row r="102" spans="1:23" x14ac:dyDescent="0.3">
      <c r="A102" s="109">
        <v>78</v>
      </c>
      <c r="B102" s="58">
        <f t="shared" si="23"/>
        <v>7380255</v>
      </c>
      <c r="C102" s="116">
        <f t="shared" si="24"/>
        <v>36917</v>
      </c>
      <c r="D102" s="117">
        <f t="shared" si="25"/>
        <v>18543</v>
      </c>
      <c r="E102" s="116">
        <f t="shared" si="28"/>
        <v>30233.682252916657</v>
      </c>
      <c r="F102" s="116">
        <f t="shared" si="19"/>
        <v>55460</v>
      </c>
      <c r="G102" s="117">
        <v>0</v>
      </c>
      <c r="H102" s="116">
        <f t="shared" si="26"/>
        <v>55460</v>
      </c>
      <c r="I102" s="116">
        <f t="shared" si="20"/>
        <v>55785</v>
      </c>
      <c r="J102" s="119">
        <f t="shared" si="21"/>
        <v>57996</v>
      </c>
      <c r="K102" s="119">
        <f t="shared" si="22"/>
        <v>60598</v>
      </c>
      <c r="L102" s="110"/>
      <c r="M102" s="110"/>
      <c r="N102" s="110"/>
      <c r="O102" s="110"/>
      <c r="P102" s="110"/>
      <c r="Q102" s="110"/>
      <c r="R102" s="110"/>
    </row>
    <row r="103" spans="1:23" x14ac:dyDescent="0.3">
      <c r="A103" s="109">
        <v>79</v>
      </c>
      <c r="B103" s="58">
        <f t="shared" si="23"/>
        <v>7343246</v>
      </c>
      <c r="C103" s="116">
        <f t="shared" si="24"/>
        <v>37009</v>
      </c>
      <c r="D103" s="117">
        <f t="shared" si="25"/>
        <v>18451</v>
      </c>
      <c r="E103" s="116">
        <f t="shared" si="28"/>
        <v>30233.682252916657</v>
      </c>
      <c r="F103" s="116">
        <f t="shared" si="19"/>
        <v>55460</v>
      </c>
      <c r="G103" s="117">
        <v>0</v>
      </c>
      <c r="H103" s="116">
        <f t="shared" si="26"/>
        <v>55460</v>
      </c>
      <c r="I103" s="116">
        <f t="shared" si="20"/>
        <v>55785</v>
      </c>
      <c r="J103" s="119">
        <f t="shared" si="21"/>
        <v>57996</v>
      </c>
      <c r="K103" s="119">
        <f t="shared" si="22"/>
        <v>60598</v>
      </c>
      <c r="L103" s="110"/>
      <c r="M103" s="110"/>
      <c r="N103" s="110"/>
      <c r="O103" s="110"/>
      <c r="P103" s="110"/>
      <c r="Q103" s="110"/>
      <c r="R103" s="110"/>
    </row>
    <row r="104" spans="1:23" x14ac:dyDescent="0.3">
      <c r="A104" s="109">
        <v>80</v>
      </c>
      <c r="B104" s="58">
        <f t="shared" si="23"/>
        <v>7306144</v>
      </c>
      <c r="C104" s="116">
        <f t="shared" si="24"/>
        <v>37102</v>
      </c>
      <c r="D104" s="117">
        <f t="shared" si="25"/>
        <v>18358</v>
      </c>
      <c r="E104" s="116">
        <f t="shared" si="28"/>
        <v>30233.682252916657</v>
      </c>
      <c r="F104" s="116">
        <f t="shared" si="19"/>
        <v>55460</v>
      </c>
      <c r="G104" s="117">
        <v>0</v>
      </c>
      <c r="H104" s="116">
        <f t="shared" si="26"/>
        <v>55460</v>
      </c>
      <c r="I104" s="116">
        <f t="shared" si="20"/>
        <v>55785</v>
      </c>
      <c r="J104" s="119">
        <f t="shared" si="21"/>
        <v>57996</v>
      </c>
      <c r="K104" s="119">
        <f t="shared" si="22"/>
        <v>60598</v>
      </c>
      <c r="L104" s="110"/>
      <c r="M104" s="110"/>
      <c r="N104" s="110"/>
      <c r="O104" s="110"/>
      <c r="P104" s="110"/>
      <c r="Q104" s="110"/>
      <c r="R104" s="110"/>
    </row>
    <row r="105" spans="1:23" x14ac:dyDescent="0.3">
      <c r="A105" s="109">
        <v>81</v>
      </c>
      <c r="B105" s="58">
        <f t="shared" si="23"/>
        <v>7268949</v>
      </c>
      <c r="C105" s="116">
        <f t="shared" si="24"/>
        <v>37195</v>
      </c>
      <c r="D105" s="117">
        <f t="shared" si="25"/>
        <v>18265</v>
      </c>
      <c r="E105" s="116">
        <f t="shared" si="28"/>
        <v>30233.682252916657</v>
      </c>
      <c r="F105" s="116">
        <f t="shared" si="19"/>
        <v>55460</v>
      </c>
      <c r="G105" s="117">
        <v>0</v>
      </c>
      <c r="H105" s="116">
        <f t="shared" si="26"/>
        <v>55460</v>
      </c>
      <c r="I105" s="116">
        <f t="shared" si="20"/>
        <v>55785</v>
      </c>
      <c r="J105" s="119">
        <f t="shared" si="21"/>
        <v>57996</v>
      </c>
      <c r="K105" s="119">
        <f t="shared" si="22"/>
        <v>60598</v>
      </c>
      <c r="L105" s="110"/>
      <c r="M105" s="110"/>
      <c r="N105" s="110"/>
      <c r="O105" s="110"/>
      <c r="P105" s="110"/>
      <c r="Q105" s="110"/>
      <c r="R105" s="110"/>
    </row>
    <row r="106" spans="1:23" x14ac:dyDescent="0.3">
      <c r="A106" s="109">
        <v>82</v>
      </c>
      <c r="B106" s="58">
        <f t="shared" si="23"/>
        <v>7231661</v>
      </c>
      <c r="C106" s="116">
        <f t="shared" si="24"/>
        <v>37288</v>
      </c>
      <c r="D106" s="117">
        <f t="shared" si="25"/>
        <v>18172</v>
      </c>
      <c r="E106" s="116">
        <f t="shared" si="28"/>
        <v>30233.682252916657</v>
      </c>
      <c r="F106" s="116">
        <f t="shared" si="19"/>
        <v>55460</v>
      </c>
      <c r="G106" s="117">
        <v>0</v>
      </c>
      <c r="H106" s="116">
        <f t="shared" si="26"/>
        <v>55460</v>
      </c>
      <c r="I106" s="116">
        <f t="shared" si="20"/>
        <v>55785</v>
      </c>
      <c r="J106" s="119">
        <f t="shared" si="21"/>
        <v>57996</v>
      </c>
      <c r="K106" s="119">
        <f t="shared" si="22"/>
        <v>60598</v>
      </c>
      <c r="L106" s="110"/>
      <c r="M106" s="110"/>
      <c r="N106" s="110"/>
      <c r="O106" s="110"/>
      <c r="P106" s="110"/>
      <c r="Q106" s="110"/>
      <c r="R106" s="110"/>
    </row>
    <row r="107" spans="1:23" x14ac:dyDescent="0.3">
      <c r="A107" s="109">
        <v>83</v>
      </c>
      <c r="B107" s="58">
        <f t="shared" si="23"/>
        <v>7194280</v>
      </c>
      <c r="C107" s="116">
        <f t="shared" si="24"/>
        <v>37381</v>
      </c>
      <c r="D107" s="117">
        <f t="shared" si="25"/>
        <v>18079</v>
      </c>
      <c r="E107" s="116">
        <f t="shared" si="28"/>
        <v>30233.682252916657</v>
      </c>
      <c r="F107" s="116">
        <f t="shared" si="19"/>
        <v>55460</v>
      </c>
      <c r="G107" s="117">
        <v>0</v>
      </c>
      <c r="H107" s="116">
        <f t="shared" si="26"/>
        <v>55460</v>
      </c>
      <c r="I107" s="116">
        <f t="shared" si="20"/>
        <v>55785</v>
      </c>
      <c r="J107" s="119">
        <f t="shared" si="21"/>
        <v>57996</v>
      </c>
      <c r="K107" s="119">
        <f t="shared" si="22"/>
        <v>60598</v>
      </c>
      <c r="L107" s="110"/>
      <c r="M107" s="110"/>
      <c r="N107" s="110"/>
      <c r="O107" s="110"/>
      <c r="P107" s="110"/>
      <c r="Q107" s="110"/>
      <c r="R107" s="110"/>
    </row>
    <row r="108" spans="1:23" x14ac:dyDescent="0.3">
      <c r="A108" s="109">
        <v>84</v>
      </c>
      <c r="B108" s="58">
        <f t="shared" si="23"/>
        <v>7156806</v>
      </c>
      <c r="C108" s="116">
        <f t="shared" si="24"/>
        <v>37474</v>
      </c>
      <c r="D108" s="117">
        <f t="shared" si="25"/>
        <v>17986</v>
      </c>
      <c r="E108" s="116">
        <f t="shared" si="28"/>
        <v>30233.682252916657</v>
      </c>
      <c r="F108" s="116">
        <f t="shared" si="19"/>
        <v>55460</v>
      </c>
      <c r="G108" s="117">
        <v>0</v>
      </c>
      <c r="H108" s="116">
        <f t="shared" si="26"/>
        <v>55460</v>
      </c>
      <c r="I108" s="116">
        <f t="shared" si="20"/>
        <v>55785</v>
      </c>
      <c r="J108" s="119">
        <f t="shared" si="21"/>
        <v>57996</v>
      </c>
      <c r="K108" s="119">
        <f t="shared" si="22"/>
        <v>60598</v>
      </c>
      <c r="L108" s="58">
        <f t="shared" ref="L108:Q108" si="29">SUM(C97:C108)</f>
        <v>443575</v>
      </c>
      <c r="M108" s="58">
        <f t="shared" si="29"/>
        <v>221945</v>
      </c>
      <c r="N108" s="58">
        <f t="shared" si="29"/>
        <v>362804.18703499995</v>
      </c>
      <c r="O108" s="58">
        <f t="shared" si="29"/>
        <v>665520</v>
      </c>
      <c r="P108" s="58">
        <f t="shared" si="29"/>
        <v>0</v>
      </c>
      <c r="Q108" s="58">
        <f t="shared" si="29"/>
        <v>665520</v>
      </c>
      <c r="R108" s="58">
        <f>SUM(J97:J108)</f>
        <v>695952</v>
      </c>
      <c r="S108" s="29">
        <f>SUM(K97:K108)</f>
        <v>727176</v>
      </c>
      <c r="T108" s="29"/>
      <c r="U108" s="29"/>
      <c r="V108" s="29"/>
      <c r="W108" s="29"/>
    </row>
    <row r="109" spans="1:23" x14ac:dyDescent="0.3">
      <c r="A109" s="109">
        <v>85</v>
      </c>
      <c r="B109" s="58">
        <f t="shared" si="23"/>
        <v>7119238</v>
      </c>
      <c r="C109" s="116">
        <f t="shared" si="24"/>
        <v>37568</v>
      </c>
      <c r="D109" s="117">
        <f t="shared" si="25"/>
        <v>17892</v>
      </c>
      <c r="E109" s="116">
        <f t="shared" ref="E109:E120" si="30">IF(A109&gt;$C$3,0,$B$108*($C$5/12))</f>
        <v>28469.177867499988</v>
      </c>
      <c r="F109" s="116">
        <f t="shared" si="19"/>
        <v>55460</v>
      </c>
      <c r="G109" s="117">
        <v>0</v>
      </c>
      <c r="H109" s="116">
        <f t="shared" si="26"/>
        <v>55460</v>
      </c>
      <c r="I109" s="116">
        <f t="shared" si="20"/>
        <v>55785</v>
      </c>
      <c r="J109" s="119">
        <f t="shared" si="21"/>
        <v>57996</v>
      </c>
      <c r="K109" s="119">
        <f t="shared" si="22"/>
        <v>60598</v>
      </c>
      <c r="L109" s="110"/>
      <c r="M109" s="110"/>
      <c r="N109" s="110"/>
      <c r="O109" s="110"/>
      <c r="P109" s="110"/>
      <c r="Q109" s="110"/>
      <c r="R109" s="110"/>
    </row>
    <row r="110" spans="1:23" x14ac:dyDescent="0.3">
      <c r="A110" s="109">
        <v>86</v>
      </c>
      <c r="B110" s="58">
        <f t="shared" si="23"/>
        <v>7081576</v>
      </c>
      <c r="C110" s="116">
        <f t="shared" si="24"/>
        <v>37662</v>
      </c>
      <c r="D110" s="117">
        <f t="shared" si="25"/>
        <v>17798</v>
      </c>
      <c r="E110" s="116">
        <f t="shared" si="30"/>
        <v>28469.177867499988</v>
      </c>
      <c r="F110" s="116">
        <f t="shared" si="19"/>
        <v>55460</v>
      </c>
      <c r="G110" s="117">
        <v>0</v>
      </c>
      <c r="H110" s="116">
        <f t="shared" si="26"/>
        <v>55460</v>
      </c>
      <c r="I110" s="116">
        <f t="shared" si="20"/>
        <v>55785</v>
      </c>
      <c r="J110" s="119">
        <f t="shared" si="21"/>
        <v>57996</v>
      </c>
      <c r="K110" s="119">
        <f t="shared" si="22"/>
        <v>60598</v>
      </c>
      <c r="L110" s="110"/>
      <c r="M110" s="110"/>
      <c r="N110" s="110"/>
      <c r="O110" s="110"/>
      <c r="P110" s="110"/>
      <c r="Q110" s="110"/>
      <c r="R110" s="110"/>
    </row>
    <row r="111" spans="1:23" x14ac:dyDescent="0.3">
      <c r="A111" s="109">
        <v>87</v>
      </c>
      <c r="B111" s="58">
        <f t="shared" si="23"/>
        <v>7043820</v>
      </c>
      <c r="C111" s="116">
        <f t="shared" si="24"/>
        <v>37756</v>
      </c>
      <c r="D111" s="117">
        <f t="shared" si="25"/>
        <v>17704</v>
      </c>
      <c r="E111" s="116">
        <f t="shared" si="30"/>
        <v>28469.177867499988</v>
      </c>
      <c r="F111" s="116">
        <f t="shared" si="19"/>
        <v>55460</v>
      </c>
      <c r="G111" s="117">
        <v>0</v>
      </c>
      <c r="H111" s="116">
        <f t="shared" si="26"/>
        <v>55460</v>
      </c>
      <c r="I111" s="116">
        <f t="shared" si="20"/>
        <v>55785</v>
      </c>
      <c r="J111" s="119">
        <f t="shared" si="21"/>
        <v>57996</v>
      </c>
      <c r="K111" s="119">
        <f t="shared" si="22"/>
        <v>60598</v>
      </c>
      <c r="L111" s="110"/>
      <c r="M111" s="110"/>
      <c r="N111" s="110"/>
      <c r="O111" s="110"/>
      <c r="P111" s="110"/>
      <c r="Q111" s="110"/>
      <c r="R111" s="110"/>
    </row>
    <row r="112" spans="1:23" x14ac:dyDescent="0.3">
      <c r="A112" s="109">
        <v>88</v>
      </c>
      <c r="B112" s="58">
        <f t="shared" si="23"/>
        <v>7005970</v>
      </c>
      <c r="C112" s="116">
        <f t="shared" si="24"/>
        <v>37850</v>
      </c>
      <c r="D112" s="117">
        <f t="shared" si="25"/>
        <v>17610</v>
      </c>
      <c r="E112" s="116">
        <f t="shared" si="30"/>
        <v>28469.177867499988</v>
      </c>
      <c r="F112" s="116">
        <f t="shared" si="19"/>
        <v>55460</v>
      </c>
      <c r="G112" s="117">
        <v>0</v>
      </c>
      <c r="H112" s="116">
        <f t="shared" si="26"/>
        <v>55460</v>
      </c>
      <c r="I112" s="116">
        <f t="shared" si="20"/>
        <v>55785</v>
      </c>
      <c r="J112" s="119">
        <f t="shared" si="21"/>
        <v>57996</v>
      </c>
      <c r="K112" s="119">
        <f t="shared" si="22"/>
        <v>60598</v>
      </c>
      <c r="L112" s="110"/>
      <c r="M112" s="110"/>
      <c r="N112" s="110"/>
      <c r="O112" s="110"/>
      <c r="P112" s="110"/>
      <c r="Q112" s="110"/>
      <c r="R112" s="110"/>
    </row>
    <row r="113" spans="1:23" x14ac:dyDescent="0.3">
      <c r="A113" s="109">
        <v>89</v>
      </c>
      <c r="B113" s="58">
        <f t="shared" si="23"/>
        <v>6968025</v>
      </c>
      <c r="C113" s="116">
        <f t="shared" si="24"/>
        <v>37945</v>
      </c>
      <c r="D113" s="117">
        <f t="shared" si="25"/>
        <v>17515</v>
      </c>
      <c r="E113" s="116">
        <f t="shared" si="30"/>
        <v>28469.177867499988</v>
      </c>
      <c r="F113" s="116">
        <f t="shared" si="19"/>
        <v>55460</v>
      </c>
      <c r="G113" s="117">
        <v>0</v>
      </c>
      <c r="H113" s="116">
        <f t="shared" si="26"/>
        <v>55460</v>
      </c>
      <c r="I113" s="116">
        <f t="shared" si="20"/>
        <v>55785</v>
      </c>
      <c r="J113" s="119">
        <f t="shared" si="21"/>
        <v>57996</v>
      </c>
      <c r="K113" s="119">
        <f t="shared" si="22"/>
        <v>60598</v>
      </c>
      <c r="L113" s="110"/>
      <c r="M113" s="110"/>
      <c r="N113" s="110"/>
      <c r="O113" s="110"/>
      <c r="P113" s="110"/>
      <c r="Q113" s="110"/>
      <c r="R113" s="110"/>
    </row>
    <row r="114" spans="1:23" x14ac:dyDescent="0.3">
      <c r="A114" s="109">
        <v>90</v>
      </c>
      <c r="B114" s="58">
        <f t="shared" si="23"/>
        <v>6929985</v>
      </c>
      <c r="C114" s="116">
        <f t="shared" si="24"/>
        <v>38040</v>
      </c>
      <c r="D114" s="117">
        <f t="shared" si="25"/>
        <v>17420</v>
      </c>
      <c r="E114" s="116">
        <f t="shared" si="30"/>
        <v>28469.177867499988</v>
      </c>
      <c r="F114" s="116">
        <f t="shared" si="19"/>
        <v>55460</v>
      </c>
      <c r="G114" s="117">
        <v>0</v>
      </c>
      <c r="H114" s="116">
        <f t="shared" si="26"/>
        <v>55460</v>
      </c>
      <c r="I114" s="116">
        <f t="shared" si="20"/>
        <v>55785</v>
      </c>
      <c r="J114" s="119">
        <f t="shared" si="21"/>
        <v>57996</v>
      </c>
      <c r="K114" s="119">
        <f t="shared" si="22"/>
        <v>60598</v>
      </c>
      <c r="L114" s="110"/>
      <c r="M114" s="110"/>
      <c r="N114" s="110"/>
      <c r="O114" s="110"/>
      <c r="P114" s="110"/>
      <c r="Q114" s="110"/>
      <c r="R114" s="110"/>
    </row>
    <row r="115" spans="1:23" x14ac:dyDescent="0.3">
      <c r="A115" s="109">
        <v>91</v>
      </c>
      <c r="B115" s="58">
        <f t="shared" si="23"/>
        <v>6891850</v>
      </c>
      <c r="C115" s="116">
        <f t="shared" si="24"/>
        <v>38135</v>
      </c>
      <c r="D115" s="117">
        <f t="shared" si="25"/>
        <v>17325</v>
      </c>
      <c r="E115" s="116">
        <f t="shared" si="30"/>
        <v>28469.177867499988</v>
      </c>
      <c r="F115" s="116">
        <f t="shared" si="19"/>
        <v>55460</v>
      </c>
      <c r="G115" s="117">
        <v>0</v>
      </c>
      <c r="H115" s="116">
        <f t="shared" si="26"/>
        <v>55460</v>
      </c>
      <c r="I115" s="116">
        <f t="shared" si="20"/>
        <v>55785</v>
      </c>
      <c r="J115" s="119">
        <f t="shared" si="21"/>
        <v>57996</v>
      </c>
      <c r="K115" s="119">
        <f t="shared" si="22"/>
        <v>60598</v>
      </c>
      <c r="L115" s="110"/>
      <c r="M115" s="110"/>
      <c r="N115" s="110"/>
      <c r="O115" s="110"/>
      <c r="P115" s="110"/>
      <c r="Q115" s="110"/>
      <c r="R115" s="110"/>
    </row>
    <row r="116" spans="1:23" x14ac:dyDescent="0.3">
      <c r="A116" s="109">
        <v>92</v>
      </c>
      <c r="B116" s="58">
        <f t="shared" si="23"/>
        <v>6853620</v>
      </c>
      <c r="C116" s="116">
        <f t="shared" si="24"/>
        <v>38230</v>
      </c>
      <c r="D116" s="117">
        <f t="shared" si="25"/>
        <v>17230</v>
      </c>
      <c r="E116" s="116">
        <f t="shared" si="30"/>
        <v>28469.177867499988</v>
      </c>
      <c r="F116" s="116">
        <f t="shared" si="19"/>
        <v>55460</v>
      </c>
      <c r="G116" s="117">
        <v>0</v>
      </c>
      <c r="H116" s="116">
        <f t="shared" si="26"/>
        <v>55460</v>
      </c>
      <c r="I116" s="116">
        <f t="shared" si="20"/>
        <v>55785</v>
      </c>
      <c r="J116" s="119">
        <f t="shared" si="21"/>
        <v>57996</v>
      </c>
      <c r="K116" s="119">
        <f t="shared" si="22"/>
        <v>60598</v>
      </c>
      <c r="L116" s="110"/>
      <c r="M116" s="110"/>
      <c r="N116" s="110"/>
      <c r="O116" s="110"/>
      <c r="P116" s="110"/>
      <c r="Q116" s="110"/>
      <c r="R116" s="110"/>
    </row>
    <row r="117" spans="1:23" x14ac:dyDescent="0.3">
      <c r="A117" s="109">
        <v>93</v>
      </c>
      <c r="B117" s="58">
        <f t="shared" si="23"/>
        <v>6815294</v>
      </c>
      <c r="C117" s="116">
        <f t="shared" si="24"/>
        <v>38326</v>
      </c>
      <c r="D117" s="117">
        <f t="shared" si="25"/>
        <v>17134</v>
      </c>
      <c r="E117" s="116">
        <f t="shared" si="30"/>
        <v>28469.177867499988</v>
      </c>
      <c r="F117" s="116">
        <f t="shared" si="19"/>
        <v>55460</v>
      </c>
      <c r="G117" s="117">
        <v>0</v>
      </c>
      <c r="H117" s="116">
        <f t="shared" si="26"/>
        <v>55460</v>
      </c>
      <c r="I117" s="116">
        <f t="shared" si="20"/>
        <v>55785</v>
      </c>
      <c r="J117" s="119">
        <f t="shared" si="21"/>
        <v>57996</v>
      </c>
      <c r="K117" s="119">
        <f t="shared" si="22"/>
        <v>60598</v>
      </c>
      <c r="L117" s="110"/>
      <c r="M117" s="110"/>
      <c r="N117" s="110"/>
      <c r="O117" s="110"/>
      <c r="P117" s="110"/>
      <c r="Q117" s="110"/>
      <c r="R117" s="110"/>
    </row>
    <row r="118" spans="1:23" x14ac:dyDescent="0.3">
      <c r="A118" s="109">
        <v>94</v>
      </c>
      <c r="B118" s="58">
        <f t="shared" si="23"/>
        <v>6776872</v>
      </c>
      <c r="C118" s="116">
        <f t="shared" si="24"/>
        <v>38422</v>
      </c>
      <c r="D118" s="117">
        <f t="shared" si="25"/>
        <v>17038</v>
      </c>
      <c r="E118" s="116">
        <f t="shared" si="30"/>
        <v>28469.177867499988</v>
      </c>
      <c r="F118" s="116">
        <f t="shared" si="19"/>
        <v>55460</v>
      </c>
      <c r="G118" s="117">
        <v>0</v>
      </c>
      <c r="H118" s="116">
        <f t="shared" si="26"/>
        <v>55460</v>
      </c>
      <c r="I118" s="116">
        <f t="shared" si="20"/>
        <v>55785</v>
      </c>
      <c r="J118" s="119">
        <f t="shared" si="21"/>
        <v>57996</v>
      </c>
      <c r="K118" s="119">
        <f t="shared" si="22"/>
        <v>60598</v>
      </c>
      <c r="L118" s="110"/>
      <c r="M118" s="110"/>
      <c r="N118" s="110"/>
      <c r="O118" s="110"/>
      <c r="P118" s="110"/>
      <c r="Q118" s="110"/>
      <c r="R118" s="110"/>
    </row>
    <row r="119" spans="1:23" x14ac:dyDescent="0.3">
      <c r="A119" s="109">
        <v>95</v>
      </c>
      <c r="B119" s="58">
        <f t="shared" si="23"/>
        <v>6738354</v>
      </c>
      <c r="C119" s="116">
        <f t="shared" si="24"/>
        <v>38518</v>
      </c>
      <c r="D119" s="117">
        <f t="shared" si="25"/>
        <v>16942</v>
      </c>
      <c r="E119" s="116">
        <f t="shared" si="30"/>
        <v>28469.177867499988</v>
      </c>
      <c r="F119" s="116">
        <f t="shared" si="19"/>
        <v>55460</v>
      </c>
      <c r="G119" s="117">
        <v>0</v>
      </c>
      <c r="H119" s="116">
        <f t="shared" si="26"/>
        <v>55460</v>
      </c>
      <c r="I119" s="116">
        <f t="shared" si="20"/>
        <v>55785</v>
      </c>
      <c r="J119" s="119">
        <f t="shared" si="21"/>
        <v>57996</v>
      </c>
      <c r="K119" s="119">
        <f t="shared" si="22"/>
        <v>60598</v>
      </c>
      <c r="L119" s="110"/>
      <c r="M119" s="110"/>
      <c r="N119" s="110"/>
      <c r="O119" s="110"/>
      <c r="P119" s="110"/>
      <c r="Q119" s="110"/>
      <c r="R119" s="110"/>
    </row>
    <row r="120" spans="1:23" x14ac:dyDescent="0.3">
      <c r="A120" s="109">
        <v>96</v>
      </c>
      <c r="B120" s="58">
        <f t="shared" si="23"/>
        <v>6699740</v>
      </c>
      <c r="C120" s="116">
        <f t="shared" si="24"/>
        <v>38614</v>
      </c>
      <c r="D120" s="117">
        <f t="shared" si="25"/>
        <v>16846</v>
      </c>
      <c r="E120" s="116">
        <f t="shared" si="30"/>
        <v>28469.177867499988</v>
      </c>
      <c r="F120" s="116">
        <f t="shared" si="19"/>
        <v>55460</v>
      </c>
      <c r="G120" s="117">
        <v>0</v>
      </c>
      <c r="H120" s="116">
        <f t="shared" si="26"/>
        <v>55460</v>
      </c>
      <c r="I120" s="116">
        <f t="shared" si="20"/>
        <v>55785</v>
      </c>
      <c r="J120" s="119">
        <f t="shared" si="21"/>
        <v>57996</v>
      </c>
      <c r="K120" s="119">
        <f t="shared" si="22"/>
        <v>60598</v>
      </c>
      <c r="L120" s="58">
        <f t="shared" ref="L120:Q120" si="31">SUM(C109:C120)</f>
        <v>457066</v>
      </c>
      <c r="M120" s="58">
        <f t="shared" si="31"/>
        <v>208454</v>
      </c>
      <c r="N120" s="58">
        <f t="shared" si="31"/>
        <v>341630.13440999988</v>
      </c>
      <c r="O120" s="58">
        <f t="shared" si="31"/>
        <v>665520</v>
      </c>
      <c r="P120" s="58">
        <f t="shared" si="31"/>
        <v>0</v>
      </c>
      <c r="Q120" s="58">
        <f t="shared" si="31"/>
        <v>665520</v>
      </c>
      <c r="R120" s="58">
        <f>SUM(J109:J120)</f>
        <v>695952</v>
      </c>
      <c r="S120" s="29">
        <f>SUM(K109:K120)</f>
        <v>727176</v>
      </c>
      <c r="T120" s="29"/>
      <c r="U120" s="29"/>
      <c r="V120" s="29"/>
      <c r="W120" s="29"/>
    </row>
    <row r="121" spans="1:23" x14ac:dyDescent="0.3">
      <c r="A121" s="109">
        <v>97</v>
      </c>
      <c r="B121" s="58">
        <f t="shared" si="23"/>
        <v>6661029</v>
      </c>
      <c r="C121" s="116">
        <f t="shared" si="24"/>
        <v>38711</v>
      </c>
      <c r="D121" s="117">
        <f t="shared" si="25"/>
        <v>16749</v>
      </c>
      <c r="E121" s="116">
        <f t="shared" ref="E121:E132" si="32">IF(A121&gt;$C$3,0,$B$120*($C$5/12))</f>
        <v>26651.007408333324</v>
      </c>
      <c r="F121" s="116">
        <f t="shared" si="19"/>
        <v>55460</v>
      </c>
      <c r="G121" s="117">
        <v>0</v>
      </c>
      <c r="H121" s="116">
        <f t="shared" si="26"/>
        <v>55460</v>
      </c>
      <c r="I121" s="116">
        <f t="shared" si="20"/>
        <v>55785</v>
      </c>
      <c r="J121" s="119">
        <f t="shared" si="21"/>
        <v>57996</v>
      </c>
      <c r="K121" s="119">
        <f t="shared" si="22"/>
        <v>60598</v>
      </c>
      <c r="L121" s="110"/>
      <c r="M121" s="110"/>
      <c r="N121" s="110"/>
      <c r="O121" s="110"/>
      <c r="P121" s="110"/>
      <c r="Q121" s="110"/>
      <c r="R121" s="110"/>
    </row>
    <row r="122" spans="1:23" x14ac:dyDescent="0.3">
      <c r="A122" s="109">
        <v>98</v>
      </c>
      <c r="B122" s="58">
        <f t="shared" si="23"/>
        <v>6622222</v>
      </c>
      <c r="C122" s="116">
        <f t="shared" si="24"/>
        <v>38807</v>
      </c>
      <c r="D122" s="117">
        <f t="shared" si="25"/>
        <v>16653</v>
      </c>
      <c r="E122" s="116">
        <f t="shared" si="32"/>
        <v>26651.007408333324</v>
      </c>
      <c r="F122" s="116">
        <f t="shared" si="19"/>
        <v>55460</v>
      </c>
      <c r="G122" s="117">
        <v>0</v>
      </c>
      <c r="H122" s="116">
        <f t="shared" si="26"/>
        <v>55460</v>
      </c>
      <c r="I122" s="116">
        <f t="shared" si="20"/>
        <v>55785</v>
      </c>
      <c r="J122" s="119">
        <f t="shared" si="21"/>
        <v>57996</v>
      </c>
      <c r="K122" s="119">
        <f t="shared" si="22"/>
        <v>60598</v>
      </c>
      <c r="L122" s="110"/>
      <c r="M122" s="110"/>
      <c r="N122" s="110"/>
      <c r="O122" s="110"/>
      <c r="P122" s="110"/>
      <c r="Q122" s="110"/>
      <c r="R122" s="110"/>
    </row>
    <row r="123" spans="1:23" x14ac:dyDescent="0.3">
      <c r="A123" s="109">
        <v>99</v>
      </c>
      <c r="B123" s="58">
        <f t="shared" si="23"/>
        <v>6583318</v>
      </c>
      <c r="C123" s="116">
        <f t="shared" si="24"/>
        <v>38904</v>
      </c>
      <c r="D123" s="117">
        <f t="shared" si="25"/>
        <v>16556</v>
      </c>
      <c r="E123" s="116">
        <f t="shared" si="32"/>
        <v>26651.007408333324</v>
      </c>
      <c r="F123" s="116">
        <f t="shared" si="19"/>
        <v>55460</v>
      </c>
      <c r="G123" s="117">
        <v>0</v>
      </c>
      <c r="H123" s="116">
        <f t="shared" si="26"/>
        <v>55460</v>
      </c>
      <c r="I123" s="116">
        <f t="shared" si="20"/>
        <v>55785</v>
      </c>
      <c r="J123" s="119">
        <f t="shared" si="21"/>
        <v>57996</v>
      </c>
      <c r="K123" s="119">
        <f t="shared" si="22"/>
        <v>60598</v>
      </c>
      <c r="L123" s="110"/>
      <c r="M123" s="110"/>
      <c r="N123" s="110"/>
      <c r="O123" s="110"/>
      <c r="P123" s="110"/>
      <c r="Q123" s="110"/>
      <c r="R123" s="110"/>
    </row>
    <row r="124" spans="1:23" x14ac:dyDescent="0.3">
      <c r="A124" s="109">
        <v>100</v>
      </c>
      <c r="B124" s="58">
        <f t="shared" si="23"/>
        <v>6544316</v>
      </c>
      <c r="C124" s="116">
        <f t="shared" si="24"/>
        <v>39002</v>
      </c>
      <c r="D124" s="117">
        <f t="shared" si="25"/>
        <v>16458</v>
      </c>
      <c r="E124" s="116">
        <f t="shared" si="32"/>
        <v>26651.007408333324</v>
      </c>
      <c r="F124" s="116">
        <f t="shared" si="19"/>
        <v>55460</v>
      </c>
      <c r="G124" s="117">
        <v>0</v>
      </c>
      <c r="H124" s="116">
        <f t="shared" si="26"/>
        <v>55460</v>
      </c>
      <c r="I124" s="116">
        <f t="shared" si="20"/>
        <v>55785</v>
      </c>
      <c r="J124" s="119">
        <f t="shared" si="21"/>
        <v>57996</v>
      </c>
      <c r="K124" s="119">
        <f t="shared" si="22"/>
        <v>60598</v>
      </c>
      <c r="L124" s="110"/>
      <c r="M124" s="110"/>
      <c r="N124" s="110"/>
      <c r="O124" s="110"/>
      <c r="P124" s="110"/>
      <c r="Q124" s="110"/>
      <c r="R124" s="110"/>
    </row>
    <row r="125" spans="1:23" x14ac:dyDescent="0.3">
      <c r="A125" s="109">
        <v>101</v>
      </c>
      <c r="B125" s="58">
        <f t="shared" si="23"/>
        <v>6505217</v>
      </c>
      <c r="C125" s="116">
        <f t="shared" si="24"/>
        <v>39099</v>
      </c>
      <c r="D125" s="117">
        <f t="shared" si="25"/>
        <v>16361</v>
      </c>
      <c r="E125" s="116">
        <f t="shared" si="32"/>
        <v>26651.007408333324</v>
      </c>
      <c r="F125" s="116">
        <f t="shared" si="19"/>
        <v>55460</v>
      </c>
      <c r="G125" s="117">
        <v>0</v>
      </c>
      <c r="H125" s="116">
        <f t="shared" si="26"/>
        <v>55460</v>
      </c>
      <c r="I125" s="116">
        <f t="shared" si="20"/>
        <v>55785</v>
      </c>
      <c r="J125" s="119">
        <f t="shared" si="21"/>
        <v>57996</v>
      </c>
      <c r="K125" s="119">
        <f t="shared" si="22"/>
        <v>60598</v>
      </c>
      <c r="L125" s="110"/>
      <c r="M125" s="110"/>
      <c r="N125" s="110"/>
      <c r="O125" s="110"/>
      <c r="P125" s="110"/>
      <c r="Q125" s="110"/>
      <c r="R125" s="110"/>
    </row>
    <row r="126" spans="1:23" x14ac:dyDescent="0.3">
      <c r="A126" s="109">
        <v>102</v>
      </c>
      <c r="B126" s="58">
        <f t="shared" si="23"/>
        <v>6466020</v>
      </c>
      <c r="C126" s="116">
        <f t="shared" si="24"/>
        <v>39197</v>
      </c>
      <c r="D126" s="117">
        <f t="shared" si="25"/>
        <v>16263</v>
      </c>
      <c r="E126" s="116">
        <f t="shared" si="32"/>
        <v>26651.007408333324</v>
      </c>
      <c r="F126" s="116">
        <f t="shared" si="19"/>
        <v>55460</v>
      </c>
      <c r="G126" s="117">
        <v>0</v>
      </c>
      <c r="H126" s="116">
        <f t="shared" si="26"/>
        <v>55460</v>
      </c>
      <c r="I126" s="116">
        <f t="shared" si="20"/>
        <v>55785</v>
      </c>
      <c r="J126" s="119">
        <f t="shared" si="21"/>
        <v>57996</v>
      </c>
      <c r="K126" s="119">
        <f t="shared" si="22"/>
        <v>60598</v>
      </c>
      <c r="L126" s="110"/>
      <c r="M126" s="110"/>
      <c r="N126" s="110"/>
      <c r="O126" s="110"/>
      <c r="P126" s="110"/>
      <c r="Q126" s="110"/>
      <c r="R126" s="110"/>
    </row>
    <row r="127" spans="1:23" x14ac:dyDescent="0.3">
      <c r="A127" s="109">
        <v>103</v>
      </c>
      <c r="B127" s="58">
        <f t="shared" si="23"/>
        <v>6426725</v>
      </c>
      <c r="C127" s="116">
        <f t="shared" si="24"/>
        <v>39295</v>
      </c>
      <c r="D127" s="117">
        <f t="shared" si="25"/>
        <v>16165</v>
      </c>
      <c r="E127" s="116">
        <f t="shared" si="32"/>
        <v>26651.007408333324</v>
      </c>
      <c r="F127" s="116">
        <f t="shared" si="19"/>
        <v>55460</v>
      </c>
      <c r="G127" s="117">
        <v>0</v>
      </c>
      <c r="H127" s="116">
        <f t="shared" si="26"/>
        <v>55460</v>
      </c>
      <c r="I127" s="116">
        <f t="shared" si="20"/>
        <v>55785</v>
      </c>
      <c r="J127" s="119">
        <f t="shared" si="21"/>
        <v>57996</v>
      </c>
      <c r="K127" s="119">
        <f t="shared" si="22"/>
        <v>60598</v>
      </c>
      <c r="L127" s="110"/>
      <c r="M127" s="110"/>
      <c r="N127" s="110"/>
      <c r="O127" s="110"/>
      <c r="P127" s="110"/>
      <c r="Q127" s="110"/>
      <c r="R127" s="110"/>
    </row>
    <row r="128" spans="1:23" x14ac:dyDescent="0.3">
      <c r="A128" s="109">
        <v>104</v>
      </c>
      <c r="B128" s="58">
        <f t="shared" si="23"/>
        <v>6387332</v>
      </c>
      <c r="C128" s="116">
        <f t="shared" si="24"/>
        <v>39393</v>
      </c>
      <c r="D128" s="117">
        <f t="shared" si="25"/>
        <v>16067</v>
      </c>
      <c r="E128" s="116">
        <f t="shared" si="32"/>
        <v>26651.007408333324</v>
      </c>
      <c r="F128" s="116">
        <f t="shared" si="19"/>
        <v>55460</v>
      </c>
      <c r="G128" s="117">
        <v>0</v>
      </c>
      <c r="H128" s="116">
        <f t="shared" si="26"/>
        <v>55460</v>
      </c>
      <c r="I128" s="116">
        <f t="shared" si="20"/>
        <v>55785</v>
      </c>
      <c r="J128" s="119">
        <f t="shared" si="21"/>
        <v>57996</v>
      </c>
      <c r="K128" s="119">
        <f t="shared" si="22"/>
        <v>60598</v>
      </c>
      <c r="L128" s="110"/>
      <c r="M128" s="110"/>
      <c r="N128" s="110"/>
      <c r="O128" s="110"/>
      <c r="P128" s="110"/>
      <c r="Q128" s="110"/>
      <c r="R128" s="110"/>
    </row>
    <row r="129" spans="1:23" x14ac:dyDescent="0.3">
      <c r="A129" s="109">
        <v>105</v>
      </c>
      <c r="B129" s="58">
        <f t="shared" si="23"/>
        <v>6347840</v>
      </c>
      <c r="C129" s="116">
        <f t="shared" si="24"/>
        <v>39492</v>
      </c>
      <c r="D129" s="117">
        <f t="shared" si="25"/>
        <v>15968</v>
      </c>
      <c r="E129" s="116">
        <f t="shared" si="32"/>
        <v>26651.007408333324</v>
      </c>
      <c r="F129" s="116">
        <f t="shared" si="19"/>
        <v>55460</v>
      </c>
      <c r="G129" s="117">
        <v>0</v>
      </c>
      <c r="H129" s="116">
        <f t="shared" si="26"/>
        <v>55460</v>
      </c>
      <c r="I129" s="116">
        <f t="shared" si="20"/>
        <v>55785</v>
      </c>
      <c r="J129" s="119">
        <f t="shared" si="21"/>
        <v>57996</v>
      </c>
      <c r="K129" s="119">
        <f t="shared" si="22"/>
        <v>60598</v>
      </c>
      <c r="L129" s="110"/>
      <c r="M129" s="110"/>
      <c r="N129" s="110"/>
      <c r="O129" s="110"/>
      <c r="P129" s="110"/>
      <c r="Q129" s="110"/>
      <c r="R129" s="110"/>
    </row>
    <row r="130" spans="1:23" x14ac:dyDescent="0.3">
      <c r="A130" s="109">
        <v>106</v>
      </c>
      <c r="B130" s="58">
        <f t="shared" si="23"/>
        <v>6308250</v>
      </c>
      <c r="C130" s="116">
        <f t="shared" si="24"/>
        <v>39590</v>
      </c>
      <c r="D130" s="117">
        <f t="shared" si="25"/>
        <v>15870</v>
      </c>
      <c r="E130" s="116">
        <f t="shared" si="32"/>
        <v>26651.007408333324</v>
      </c>
      <c r="F130" s="116">
        <f t="shared" si="19"/>
        <v>55460</v>
      </c>
      <c r="G130" s="117">
        <v>0</v>
      </c>
      <c r="H130" s="116">
        <f t="shared" si="26"/>
        <v>55460</v>
      </c>
      <c r="I130" s="116">
        <f t="shared" si="20"/>
        <v>55785</v>
      </c>
      <c r="J130" s="119">
        <f t="shared" si="21"/>
        <v>57996</v>
      </c>
      <c r="K130" s="119">
        <f t="shared" si="22"/>
        <v>60598</v>
      </c>
      <c r="L130" s="110"/>
      <c r="M130" s="110"/>
      <c r="N130" s="110"/>
      <c r="O130" s="110"/>
      <c r="P130" s="110"/>
      <c r="Q130" s="110"/>
      <c r="R130" s="110"/>
    </row>
    <row r="131" spans="1:23" x14ac:dyDescent="0.3">
      <c r="A131" s="109">
        <v>107</v>
      </c>
      <c r="B131" s="58">
        <f t="shared" si="23"/>
        <v>6268561</v>
      </c>
      <c r="C131" s="116">
        <f t="shared" si="24"/>
        <v>39689</v>
      </c>
      <c r="D131" s="117">
        <f t="shared" si="25"/>
        <v>15771</v>
      </c>
      <c r="E131" s="116">
        <f t="shared" si="32"/>
        <v>26651.007408333324</v>
      </c>
      <c r="F131" s="116">
        <f t="shared" si="19"/>
        <v>55460</v>
      </c>
      <c r="G131" s="117">
        <v>0</v>
      </c>
      <c r="H131" s="116">
        <f t="shared" si="26"/>
        <v>55460</v>
      </c>
      <c r="I131" s="116">
        <f t="shared" si="20"/>
        <v>55785</v>
      </c>
      <c r="J131" s="119">
        <f t="shared" si="21"/>
        <v>57996</v>
      </c>
      <c r="K131" s="119">
        <f t="shared" si="22"/>
        <v>60598</v>
      </c>
      <c r="L131" s="110"/>
      <c r="M131" s="110"/>
      <c r="N131" s="110"/>
      <c r="O131" s="110"/>
      <c r="P131" s="110"/>
      <c r="Q131" s="110"/>
      <c r="R131" s="110"/>
    </row>
    <row r="132" spans="1:23" x14ac:dyDescent="0.3">
      <c r="A132" s="109">
        <v>108</v>
      </c>
      <c r="B132" s="58">
        <f t="shared" si="23"/>
        <v>6228772</v>
      </c>
      <c r="C132" s="116">
        <f t="shared" si="24"/>
        <v>39789</v>
      </c>
      <c r="D132" s="117">
        <f t="shared" si="25"/>
        <v>15671</v>
      </c>
      <c r="E132" s="116">
        <f t="shared" si="32"/>
        <v>26651.007408333324</v>
      </c>
      <c r="F132" s="116">
        <f t="shared" si="19"/>
        <v>55460</v>
      </c>
      <c r="G132" s="117">
        <v>0</v>
      </c>
      <c r="H132" s="116">
        <f t="shared" si="26"/>
        <v>55460</v>
      </c>
      <c r="I132" s="116">
        <f t="shared" si="20"/>
        <v>55785</v>
      </c>
      <c r="J132" s="119">
        <f t="shared" si="21"/>
        <v>57996</v>
      </c>
      <c r="K132" s="119">
        <f t="shared" si="22"/>
        <v>60598</v>
      </c>
      <c r="L132" s="58">
        <f t="shared" ref="L132:Q132" si="33">SUM(C121:C132)</f>
        <v>470968</v>
      </c>
      <c r="M132" s="58">
        <f t="shared" si="33"/>
        <v>194552</v>
      </c>
      <c r="N132" s="58">
        <f t="shared" si="33"/>
        <v>319812.08889999986</v>
      </c>
      <c r="O132" s="58">
        <f t="shared" si="33"/>
        <v>665520</v>
      </c>
      <c r="P132" s="58">
        <f t="shared" si="33"/>
        <v>0</v>
      </c>
      <c r="Q132" s="58">
        <f t="shared" si="33"/>
        <v>665520</v>
      </c>
      <c r="R132" s="58">
        <f>SUM(J121:J132)</f>
        <v>695952</v>
      </c>
      <c r="S132" s="29">
        <f>SUM(K121:K132)</f>
        <v>727176</v>
      </c>
      <c r="T132" s="29"/>
      <c r="U132" s="29"/>
      <c r="V132" s="29"/>
      <c r="W132" s="29"/>
    </row>
    <row r="133" spans="1:23" x14ac:dyDescent="0.3">
      <c r="A133" s="109">
        <v>109</v>
      </c>
      <c r="B133" s="58">
        <f t="shared" si="23"/>
        <v>6188884</v>
      </c>
      <c r="C133" s="116">
        <f t="shared" si="24"/>
        <v>39888</v>
      </c>
      <c r="D133" s="117">
        <f t="shared" si="25"/>
        <v>15572</v>
      </c>
      <c r="E133" s="116">
        <f t="shared" ref="E133:E144" si="34">IF(A133&gt;$C$3,0,$B$132*($C$5/12))</f>
        <v>24777.535951666658</v>
      </c>
      <c r="F133" s="116">
        <f t="shared" si="19"/>
        <v>55460</v>
      </c>
      <c r="G133" s="117">
        <v>0</v>
      </c>
      <c r="H133" s="116">
        <f t="shared" si="26"/>
        <v>55460</v>
      </c>
      <c r="I133" s="116">
        <f t="shared" si="20"/>
        <v>55785</v>
      </c>
      <c r="J133" s="119">
        <f t="shared" si="21"/>
        <v>57996</v>
      </c>
      <c r="K133" s="119">
        <f t="shared" si="22"/>
        <v>60598</v>
      </c>
      <c r="L133" s="110"/>
      <c r="M133" s="110"/>
      <c r="N133" s="110"/>
      <c r="O133" s="110"/>
      <c r="P133" s="110"/>
      <c r="Q133" s="110"/>
      <c r="R133" s="110"/>
    </row>
    <row r="134" spans="1:23" x14ac:dyDescent="0.3">
      <c r="A134" s="109">
        <v>110</v>
      </c>
      <c r="B134" s="58">
        <f t="shared" si="23"/>
        <v>6148896</v>
      </c>
      <c r="C134" s="116">
        <f t="shared" si="24"/>
        <v>39988</v>
      </c>
      <c r="D134" s="117">
        <f t="shared" si="25"/>
        <v>15472</v>
      </c>
      <c r="E134" s="116">
        <f t="shared" si="34"/>
        <v>24777.535951666658</v>
      </c>
      <c r="F134" s="116">
        <f t="shared" si="19"/>
        <v>55460</v>
      </c>
      <c r="G134" s="117">
        <v>0</v>
      </c>
      <c r="H134" s="116">
        <f t="shared" si="26"/>
        <v>55460</v>
      </c>
      <c r="I134" s="116">
        <f t="shared" si="20"/>
        <v>55785</v>
      </c>
      <c r="J134" s="119">
        <f t="shared" si="21"/>
        <v>57996</v>
      </c>
      <c r="K134" s="119">
        <f t="shared" si="22"/>
        <v>60598</v>
      </c>
      <c r="L134" s="110"/>
      <c r="M134" s="110"/>
      <c r="N134" s="110"/>
      <c r="O134" s="110"/>
      <c r="P134" s="110"/>
      <c r="Q134" s="110"/>
      <c r="R134" s="110"/>
    </row>
    <row r="135" spans="1:23" x14ac:dyDescent="0.3">
      <c r="A135" s="109">
        <v>111</v>
      </c>
      <c r="B135" s="58">
        <f t="shared" si="23"/>
        <v>6108808</v>
      </c>
      <c r="C135" s="116">
        <f t="shared" si="24"/>
        <v>40088</v>
      </c>
      <c r="D135" s="117">
        <f t="shared" si="25"/>
        <v>15372</v>
      </c>
      <c r="E135" s="116">
        <f t="shared" si="34"/>
        <v>24777.535951666658</v>
      </c>
      <c r="F135" s="116">
        <f t="shared" si="19"/>
        <v>55460</v>
      </c>
      <c r="G135" s="117">
        <v>0</v>
      </c>
      <c r="H135" s="116">
        <f t="shared" si="26"/>
        <v>55460</v>
      </c>
      <c r="I135" s="116">
        <f t="shared" si="20"/>
        <v>55785</v>
      </c>
      <c r="J135" s="119">
        <f t="shared" si="21"/>
        <v>57996</v>
      </c>
      <c r="K135" s="119">
        <f t="shared" si="22"/>
        <v>60598</v>
      </c>
      <c r="L135" s="110"/>
      <c r="M135" s="110"/>
      <c r="N135" s="110"/>
      <c r="O135" s="110"/>
      <c r="P135" s="110"/>
      <c r="Q135" s="110"/>
      <c r="R135" s="110"/>
    </row>
    <row r="136" spans="1:23" x14ac:dyDescent="0.3">
      <c r="A136" s="109">
        <v>112</v>
      </c>
      <c r="B136" s="58">
        <f t="shared" si="23"/>
        <v>6068620</v>
      </c>
      <c r="C136" s="116">
        <f t="shared" si="24"/>
        <v>40188</v>
      </c>
      <c r="D136" s="117">
        <f t="shared" si="25"/>
        <v>15272</v>
      </c>
      <c r="E136" s="116">
        <f t="shared" si="34"/>
        <v>24777.535951666658</v>
      </c>
      <c r="F136" s="116">
        <f t="shared" si="19"/>
        <v>55460</v>
      </c>
      <c r="G136" s="117">
        <v>0</v>
      </c>
      <c r="H136" s="116">
        <f t="shared" si="26"/>
        <v>55460</v>
      </c>
      <c r="I136" s="116">
        <f t="shared" si="20"/>
        <v>55785</v>
      </c>
      <c r="J136" s="119">
        <f t="shared" si="21"/>
        <v>57996</v>
      </c>
      <c r="K136" s="119">
        <f t="shared" si="22"/>
        <v>60598</v>
      </c>
      <c r="L136" s="110"/>
      <c r="M136" s="110"/>
      <c r="N136" s="110"/>
      <c r="O136" s="110"/>
      <c r="P136" s="110"/>
      <c r="Q136" s="110"/>
      <c r="R136" s="110"/>
    </row>
    <row r="137" spans="1:23" x14ac:dyDescent="0.3">
      <c r="A137" s="109">
        <v>113</v>
      </c>
      <c r="B137" s="58">
        <f t="shared" si="23"/>
        <v>6028332</v>
      </c>
      <c r="C137" s="116">
        <f t="shared" si="24"/>
        <v>40288</v>
      </c>
      <c r="D137" s="117">
        <f t="shared" si="25"/>
        <v>15172</v>
      </c>
      <c r="E137" s="116">
        <f t="shared" si="34"/>
        <v>24777.535951666658</v>
      </c>
      <c r="F137" s="116">
        <f t="shared" si="19"/>
        <v>55460</v>
      </c>
      <c r="G137" s="117">
        <v>0</v>
      </c>
      <c r="H137" s="116">
        <f t="shared" si="26"/>
        <v>55460</v>
      </c>
      <c r="I137" s="116">
        <f t="shared" si="20"/>
        <v>55785</v>
      </c>
      <c r="J137" s="119">
        <f t="shared" si="21"/>
        <v>57996</v>
      </c>
      <c r="K137" s="119">
        <f t="shared" si="22"/>
        <v>60598</v>
      </c>
      <c r="L137" s="110"/>
      <c r="M137" s="110"/>
      <c r="N137" s="110"/>
      <c r="O137" s="110"/>
      <c r="P137" s="110"/>
      <c r="Q137" s="110"/>
      <c r="R137" s="110"/>
    </row>
    <row r="138" spans="1:23" x14ac:dyDescent="0.3">
      <c r="A138" s="109">
        <v>114</v>
      </c>
      <c r="B138" s="58">
        <f t="shared" si="23"/>
        <v>5987943</v>
      </c>
      <c r="C138" s="116">
        <f t="shared" si="24"/>
        <v>40389</v>
      </c>
      <c r="D138" s="117">
        <f t="shared" si="25"/>
        <v>15071</v>
      </c>
      <c r="E138" s="116">
        <f t="shared" si="34"/>
        <v>24777.535951666658</v>
      </c>
      <c r="F138" s="116">
        <f t="shared" si="19"/>
        <v>55460</v>
      </c>
      <c r="G138" s="117">
        <v>0</v>
      </c>
      <c r="H138" s="116">
        <f t="shared" si="26"/>
        <v>55460</v>
      </c>
      <c r="I138" s="116">
        <f t="shared" si="20"/>
        <v>55785</v>
      </c>
      <c r="J138" s="119">
        <f t="shared" si="21"/>
        <v>57996</v>
      </c>
      <c r="K138" s="119">
        <f t="shared" si="22"/>
        <v>60598</v>
      </c>
      <c r="L138" s="110"/>
      <c r="M138" s="110"/>
      <c r="N138" s="110"/>
      <c r="O138" s="110"/>
      <c r="P138" s="110"/>
      <c r="Q138" s="110"/>
      <c r="R138" s="110"/>
    </row>
    <row r="139" spans="1:23" x14ac:dyDescent="0.3">
      <c r="A139" s="109">
        <v>115</v>
      </c>
      <c r="B139" s="58">
        <f t="shared" si="23"/>
        <v>5947453</v>
      </c>
      <c r="C139" s="116">
        <f t="shared" si="24"/>
        <v>40490</v>
      </c>
      <c r="D139" s="117">
        <f t="shared" si="25"/>
        <v>14970</v>
      </c>
      <c r="E139" s="116">
        <f t="shared" si="34"/>
        <v>24777.535951666658</v>
      </c>
      <c r="F139" s="116">
        <f t="shared" si="19"/>
        <v>55460</v>
      </c>
      <c r="G139" s="117">
        <v>0</v>
      </c>
      <c r="H139" s="116">
        <f t="shared" si="26"/>
        <v>55460</v>
      </c>
      <c r="I139" s="116">
        <f t="shared" si="20"/>
        <v>55785</v>
      </c>
      <c r="J139" s="119">
        <f t="shared" si="21"/>
        <v>57996</v>
      </c>
      <c r="K139" s="119">
        <f t="shared" si="22"/>
        <v>60598</v>
      </c>
      <c r="L139" s="110"/>
      <c r="M139" s="110"/>
      <c r="N139" s="110"/>
      <c r="O139" s="110"/>
      <c r="P139" s="110"/>
      <c r="Q139" s="110"/>
      <c r="R139" s="110"/>
    </row>
    <row r="140" spans="1:23" x14ac:dyDescent="0.3">
      <c r="A140" s="109">
        <v>116</v>
      </c>
      <c r="B140" s="58">
        <f t="shared" si="23"/>
        <v>5906862</v>
      </c>
      <c r="C140" s="116">
        <f t="shared" si="24"/>
        <v>40591</v>
      </c>
      <c r="D140" s="117">
        <f t="shared" si="25"/>
        <v>14869</v>
      </c>
      <c r="E140" s="116">
        <f t="shared" si="34"/>
        <v>24777.535951666658</v>
      </c>
      <c r="F140" s="116">
        <f t="shared" si="19"/>
        <v>55460</v>
      </c>
      <c r="G140" s="117">
        <v>0</v>
      </c>
      <c r="H140" s="116">
        <f t="shared" si="26"/>
        <v>55460</v>
      </c>
      <c r="I140" s="116">
        <f t="shared" si="20"/>
        <v>55785</v>
      </c>
      <c r="J140" s="119">
        <f t="shared" si="21"/>
        <v>57996</v>
      </c>
      <c r="K140" s="119">
        <f t="shared" si="22"/>
        <v>60598</v>
      </c>
      <c r="L140" s="110"/>
      <c r="M140" s="110"/>
      <c r="N140" s="110"/>
      <c r="O140" s="110"/>
      <c r="P140" s="110"/>
      <c r="Q140" s="110"/>
      <c r="R140" s="110"/>
    </row>
    <row r="141" spans="1:23" x14ac:dyDescent="0.3">
      <c r="A141" s="109">
        <v>117</v>
      </c>
      <c r="B141" s="58">
        <f t="shared" si="23"/>
        <v>5866169</v>
      </c>
      <c r="C141" s="116">
        <f t="shared" si="24"/>
        <v>40693</v>
      </c>
      <c r="D141" s="117">
        <f t="shared" si="25"/>
        <v>14767</v>
      </c>
      <c r="E141" s="116">
        <f t="shared" si="34"/>
        <v>24777.535951666658</v>
      </c>
      <c r="F141" s="116">
        <f t="shared" si="19"/>
        <v>55460</v>
      </c>
      <c r="G141" s="117">
        <v>0</v>
      </c>
      <c r="H141" s="116">
        <f t="shared" si="26"/>
        <v>55460</v>
      </c>
      <c r="I141" s="116">
        <f t="shared" si="20"/>
        <v>55785</v>
      </c>
      <c r="J141" s="119">
        <f t="shared" si="21"/>
        <v>57996</v>
      </c>
      <c r="K141" s="119">
        <f t="shared" si="22"/>
        <v>60598</v>
      </c>
      <c r="L141" s="110"/>
      <c r="M141" s="110"/>
      <c r="N141" s="110"/>
      <c r="O141" s="110"/>
      <c r="P141" s="110"/>
      <c r="Q141" s="110"/>
      <c r="R141" s="110"/>
    </row>
    <row r="142" spans="1:23" x14ac:dyDescent="0.3">
      <c r="A142" s="109">
        <v>118</v>
      </c>
      <c r="B142" s="58">
        <f t="shared" si="23"/>
        <v>5825374</v>
      </c>
      <c r="C142" s="116">
        <f t="shared" si="24"/>
        <v>40795</v>
      </c>
      <c r="D142" s="117">
        <f t="shared" si="25"/>
        <v>14665</v>
      </c>
      <c r="E142" s="116">
        <f t="shared" si="34"/>
        <v>24777.535951666658</v>
      </c>
      <c r="F142" s="116">
        <f t="shared" si="19"/>
        <v>55460</v>
      </c>
      <c r="G142" s="117">
        <v>0</v>
      </c>
      <c r="H142" s="116">
        <f t="shared" si="26"/>
        <v>55460</v>
      </c>
      <c r="I142" s="116">
        <f t="shared" si="20"/>
        <v>55785</v>
      </c>
      <c r="J142" s="119">
        <f t="shared" si="21"/>
        <v>57996</v>
      </c>
      <c r="K142" s="119">
        <f t="shared" si="22"/>
        <v>60598</v>
      </c>
      <c r="L142" s="110"/>
      <c r="M142" s="110"/>
      <c r="N142" s="110"/>
      <c r="O142" s="110"/>
      <c r="P142" s="110"/>
      <c r="Q142" s="110"/>
      <c r="R142" s="110"/>
    </row>
    <row r="143" spans="1:23" x14ac:dyDescent="0.3">
      <c r="A143" s="109">
        <v>119</v>
      </c>
      <c r="B143" s="58">
        <f t="shared" si="23"/>
        <v>5784477</v>
      </c>
      <c r="C143" s="116">
        <f t="shared" si="24"/>
        <v>40897</v>
      </c>
      <c r="D143" s="117">
        <f t="shared" si="25"/>
        <v>14563</v>
      </c>
      <c r="E143" s="116">
        <f t="shared" si="34"/>
        <v>24777.535951666658</v>
      </c>
      <c r="F143" s="116">
        <f t="shared" si="19"/>
        <v>55460</v>
      </c>
      <c r="G143" s="117">
        <v>0</v>
      </c>
      <c r="H143" s="116">
        <f t="shared" si="26"/>
        <v>55460</v>
      </c>
      <c r="I143" s="116">
        <f t="shared" si="20"/>
        <v>55785</v>
      </c>
      <c r="J143" s="119">
        <f t="shared" si="21"/>
        <v>57996</v>
      </c>
      <c r="K143" s="119">
        <f t="shared" si="22"/>
        <v>60598</v>
      </c>
      <c r="L143" s="110"/>
      <c r="M143" s="110"/>
      <c r="N143" s="110"/>
      <c r="O143" s="110"/>
      <c r="P143" s="110"/>
      <c r="Q143" s="110"/>
      <c r="R143" s="110"/>
    </row>
    <row r="144" spans="1:23" x14ac:dyDescent="0.3">
      <c r="A144" s="109">
        <v>120</v>
      </c>
      <c r="B144" s="58">
        <f t="shared" si="23"/>
        <v>5743478</v>
      </c>
      <c r="C144" s="116">
        <f t="shared" si="24"/>
        <v>40999</v>
      </c>
      <c r="D144" s="117">
        <f t="shared" si="25"/>
        <v>14461</v>
      </c>
      <c r="E144" s="116">
        <f t="shared" si="34"/>
        <v>24777.535951666658</v>
      </c>
      <c r="F144" s="116">
        <f t="shared" si="19"/>
        <v>55460</v>
      </c>
      <c r="G144" s="117">
        <v>0</v>
      </c>
      <c r="H144" s="116">
        <f t="shared" si="26"/>
        <v>55460</v>
      </c>
      <c r="I144" s="116">
        <f t="shared" si="20"/>
        <v>55785</v>
      </c>
      <c r="J144" s="119">
        <f t="shared" si="21"/>
        <v>57996</v>
      </c>
      <c r="K144" s="119">
        <f t="shared" si="22"/>
        <v>60598</v>
      </c>
      <c r="L144" s="58">
        <f t="shared" ref="L144:Q144" si="35">SUM(C133:C144)</f>
        <v>485294</v>
      </c>
      <c r="M144" s="58">
        <f t="shared" si="35"/>
        <v>180226</v>
      </c>
      <c r="N144" s="58">
        <f t="shared" si="35"/>
        <v>297330.43141999986</v>
      </c>
      <c r="O144" s="58">
        <f t="shared" si="35"/>
        <v>665520</v>
      </c>
      <c r="P144" s="58">
        <f t="shared" si="35"/>
        <v>0</v>
      </c>
      <c r="Q144" s="58">
        <f t="shared" si="35"/>
        <v>665520</v>
      </c>
      <c r="R144" s="58">
        <f>SUM(J133:J144)</f>
        <v>695952</v>
      </c>
      <c r="S144" s="29">
        <f>SUM(K133:K144)</f>
        <v>727176</v>
      </c>
      <c r="T144" s="29"/>
      <c r="U144" s="29"/>
      <c r="V144" s="29"/>
      <c r="W144" s="29"/>
    </row>
    <row r="145" spans="1:23" x14ac:dyDescent="0.3">
      <c r="A145" s="109">
        <v>121</v>
      </c>
      <c r="B145" s="58">
        <f t="shared" si="23"/>
        <v>5702377</v>
      </c>
      <c r="C145" s="116">
        <f t="shared" si="24"/>
        <v>41101</v>
      </c>
      <c r="D145" s="117">
        <f t="shared" si="25"/>
        <v>14359</v>
      </c>
      <c r="E145" s="116">
        <f t="shared" ref="E145:E156" si="36">IF(A145&gt;$C$3,0,$B$144*($C$5/12))</f>
        <v>22847.076860833324</v>
      </c>
      <c r="F145" s="116">
        <f t="shared" si="19"/>
        <v>55460</v>
      </c>
      <c r="G145" s="117">
        <v>0</v>
      </c>
      <c r="H145" s="116">
        <f t="shared" si="26"/>
        <v>55460</v>
      </c>
      <c r="I145" s="116">
        <f t="shared" si="20"/>
        <v>55785</v>
      </c>
      <c r="J145" s="119">
        <f t="shared" si="21"/>
        <v>57996</v>
      </c>
      <c r="K145" s="119">
        <f t="shared" si="22"/>
        <v>60598</v>
      </c>
      <c r="L145" s="110"/>
      <c r="M145" s="110"/>
      <c r="N145" s="110"/>
      <c r="O145" s="110"/>
      <c r="P145" s="110"/>
      <c r="Q145" s="110"/>
      <c r="R145" s="110"/>
    </row>
    <row r="146" spans="1:23" x14ac:dyDescent="0.3">
      <c r="A146" s="109">
        <v>122</v>
      </c>
      <c r="B146" s="58">
        <f t="shared" si="23"/>
        <v>5661173</v>
      </c>
      <c r="C146" s="116">
        <f t="shared" si="24"/>
        <v>41204</v>
      </c>
      <c r="D146" s="117">
        <f t="shared" si="25"/>
        <v>14256</v>
      </c>
      <c r="E146" s="116">
        <f t="shared" si="36"/>
        <v>22847.076860833324</v>
      </c>
      <c r="F146" s="116">
        <f t="shared" si="19"/>
        <v>55460</v>
      </c>
      <c r="G146" s="117">
        <v>0</v>
      </c>
      <c r="H146" s="116">
        <f t="shared" si="26"/>
        <v>55460</v>
      </c>
      <c r="I146" s="116">
        <f t="shared" si="20"/>
        <v>55785</v>
      </c>
      <c r="J146" s="119">
        <f t="shared" si="21"/>
        <v>57996</v>
      </c>
      <c r="K146" s="119">
        <f t="shared" si="22"/>
        <v>60598</v>
      </c>
      <c r="L146" s="110"/>
      <c r="M146" s="110"/>
      <c r="N146" s="110"/>
      <c r="O146" s="110"/>
      <c r="P146" s="110"/>
      <c r="Q146" s="110"/>
      <c r="R146" s="110"/>
    </row>
    <row r="147" spans="1:23" x14ac:dyDescent="0.3">
      <c r="A147" s="109">
        <v>123</v>
      </c>
      <c r="B147" s="58">
        <f t="shared" si="23"/>
        <v>5619866</v>
      </c>
      <c r="C147" s="116">
        <f t="shared" si="24"/>
        <v>41307</v>
      </c>
      <c r="D147" s="117">
        <f t="shared" si="25"/>
        <v>14153</v>
      </c>
      <c r="E147" s="116">
        <f t="shared" si="36"/>
        <v>22847.076860833324</v>
      </c>
      <c r="F147" s="116">
        <f t="shared" si="19"/>
        <v>55460</v>
      </c>
      <c r="G147" s="117">
        <v>0</v>
      </c>
      <c r="H147" s="116">
        <f t="shared" si="26"/>
        <v>55460</v>
      </c>
      <c r="I147" s="116">
        <f t="shared" si="20"/>
        <v>55785</v>
      </c>
      <c r="J147" s="119">
        <f t="shared" si="21"/>
        <v>57996</v>
      </c>
      <c r="K147" s="119">
        <f t="shared" si="22"/>
        <v>60598</v>
      </c>
      <c r="L147" s="110"/>
      <c r="M147" s="110"/>
      <c r="N147" s="110"/>
      <c r="O147" s="110"/>
      <c r="P147" s="110"/>
      <c r="Q147" s="110"/>
      <c r="R147" s="110"/>
    </row>
    <row r="148" spans="1:23" x14ac:dyDescent="0.3">
      <c r="A148" s="109">
        <v>124</v>
      </c>
      <c r="B148" s="58">
        <f t="shared" si="23"/>
        <v>5578456</v>
      </c>
      <c r="C148" s="116">
        <f t="shared" si="24"/>
        <v>41410</v>
      </c>
      <c r="D148" s="117">
        <f t="shared" si="25"/>
        <v>14050</v>
      </c>
      <c r="E148" s="116">
        <f t="shared" si="36"/>
        <v>22847.076860833324</v>
      </c>
      <c r="F148" s="116">
        <f t="shared" si="19"/>
        <v>55460</v>
      </c>
      <c r="G148" s="117">
        <v>0</v>
      </c>
      <c r="H148" s="116">
        <f t="shared" si="26"/>
        <v>55460</v>
      </c>
      <c r="I148" s="116">
        <f t="shared" si="20"/>
        <v>55785</v>
      </c>
      <c r="J148" s="119">
        <f t="shared" si="21"/>
        <v>57996</v>
      </c>
      <c r="K148" s="119">
        <f t="shared" si="22"/>
        <v>60598</v>
      </c>
      <c r="L148" s="110"/>
      <c r="M148" s="110"/>
      <c r="N148" s="110"/>
      <c r="O148" s="110"/>
      <c r="P148" s="110"/>
      <c r="Q148" s="110"/>
      <c r="R148" s="110"/>
    </row>
    <row r="149" spans="1:23" x14ac:dyDescent="0.3">
      <c r="A149" s="109">
        <v>125</v>
      </c>
      <c r="B149" s="58">
        <f t="shared" si="23"/>
        <v>5536942</v>
      </c>
      <c r="C149" s="116">
        <f t="shared" si="24"/>
        <v>41514</v>
      </c>
      <c r="D149" s="117">
        <f t="shared" si="25"/>
        <v>13946</v>
      </c>
      <c r="E149" s="116">
        <f t="shared" si="36"/>
        <v>22847.076860833324</v>
      </c>
      <c r="F149" s="116">
        <f t="shared" si="19"/>
        <v>55460</v>
      </c>
      <c r="G149" s="117">
        <v>0</v>
      </c>
      <c r="H149" s="116">
        <f t="shared" si="26"/>
        <v>55460</v>
      </c>
      <c r="I149" s="116">
        <f t="shared" si="20"/>
        <v>55785</v>
      </c>
      <c r="J149" s="119">
        <f t="shared" si="21"/>
        <v>57996</v>
      </c>
      <c r="K149" s="119">
        <f t="shared" si="22"/>
        <v>60598</v>
      </c>
      <c r="L149" s="110"/>
      <c r="M149" s="110"/>
      <c r="N149" s="110"/>
      <c r="O149" s="110"/>
      <c r="P149" s="110"/>
      <c r="Q149" s="110"/>
      <c r="R149" s="110"/>
    </row>
    <row r="150" spans="1:23" x14ac:dyDescent="0.3">
      <c r="A150" s="109">
        <v>126</v>
      </c>
      <c r="B150" s="58">
        <f t="shared" si="23"/>
        <v>5495324</v>
      </c>
      <c r="C150" s="116">
        <f t="shared" si="24"/>
        <v>41618</v>
      </c>
      <c r="D150" s="117">
        <f t="shared" si="25"/>
        <v>13842</v>
      </c>
      <c r="E150" s="116">
        <f t="shared" si="36"/>
        <v>22847.076860833324</v>
      </c>
      <c r="F150" s="116">
        <f t="shared" si="19"/>
        <v>55460</v>
      </c>
      <c r="G150" s="117">
        <v>0</v>
      </c>
      <c r="H150" s="116">
        <f t="shared" si="26"/>
        <v>55460</v>
      </c>
      <c r="I150" s="116">
        <f t="shared" si="20"/>
        <v>55785</v>
      </c>
      <c r="J150" s="119">
        <f t="shared" si="21"/>
        <v>57996</v>
      </c>
      <c r="K150" s="119">
        <f t="shared" si="22"/>
        <v>60598</v>
      </c>
      <c r="L150" s="110"/>
      <c r="M150" s="110"/>
      <c r="N150" s="110"/>
      <c r="O150" s="110"/>
      <c r="P150" s="110"/>
      <c r="Q150" s="110"/>
      <c r="R150" s="110"/>
    </row>
    <row r="151" spans="1:23" x14ac:dyDescent="0.3">
      <c r="A151" s="109">
        <v>127</v>
      </c>
      <c r="B151" s="58">
        <f t="shared" si="23"/>
        <v>5453602</v>
      </c>
      <c r="C151" s="116">
        <f t="shared" si="24"/>
        <v>41722</v>
      </c>
      <c r="D151" s="117">
        <f t="shared" si="25"/>
        <v>13738</v>
      </c>
      <c r="E151" s="116">
        <f t="shared" si="36"/>
        <v>22847.076860833324</v>
      </c>
      <c r="F151" s="116">
        <f t="shared" si="19"/>
        <v>55460</v>
      </c>
      <c r="G151" s="117">
        <v>0</v>
      </c>
      <c r="H151" s="116">
        <f t="shared" si="26"/>
        <v>55460</v>
      </c>
      <c r="I151" s="116">
        <f t="shared" si="20"/>
        <v>55785</v>
      </c>
      <c r="J151" s="119">
        <f t="shared" si="21"/>
        <v>57996</v>
      </c>
      <c r="K151" s="119">
        <f t="shared" si="22"/>
        <v>60598</v>
      </c>
      <c r="L151" s="110"/>
      <c r="M151" s="110"/>
      <c r="N151" s="110"/>
      <c r="O151" s="110"/>
      <c r="P151" s="110"/>
      <c r="Q151" s="110"/>
      <c r="R151" s="110"/>
    </row>
    <row r="152" spans="1:23" x14ac:dyDescent="0.3">
      <c r="A152" s="109">
        <v>128</v>
      </c>
      <c r="B152" s="58">
        <f t="shared" si="23"/>
        <v>5411776</v>
      </c>
      <c r="C152" s="116">
        <f t="shared" si="24"/>
        <v>41826</v>
      </c>
      <c r="D152" s="117">
        <f t="shared" si="25"/>
        <v>13634</v>
      </c>
      <c r="E152" s="116">
        <f t="shared" si="36"/>
        <v>22847.076860833324</v>
      </c>
      <c r="F152" s="116">
        <f t="shared" si="19"/>
        <v>55460</v>
      </c>
      <c r="G152" s="117">
        <v>0</v>
      </c>
      <c r="H152" s="116">
        <f t="shared" si="26"/>
        <v>55460</v>
      </c>
      <c r="I152" s="116">
        <f t="shared" si="20"/>
        <v>55785</v>
      </c>
      <c r="J152" s="119">
        <f t="shared" si="21"/>
        <v>57996</v>
      </c>
      <c r="K152" s="119">
        <f t="shared" si="22"/>
        <v>60598</v>
      </c>
      <c r="L152" s="110"/>
      <c r="M152" s="110"/>
      <c r="N152" s="110"/>
      <c r="O152" s="110"/>
      <c r="P152" s="110"/>
      <c r="Q152" s="110"/>
      <c r="R152" s="110"/>
    </row>
    <row r="153" spans="1:23" x14ac:dyDescent="0.3">
      <c r="A153" s="109">
        <v>129</v>
      </c>
      <c r="B153" s="58">
        <f t="shared" si="23"/>
        <v>5369845</v>
      </c>
      <c r="C153" s="116">
        <f t="shared" si="24"/>
        <v>41931</v>
      </c>
      <c r="D153" s="117">
        <f t="shared" si="25"/>
        <v>13529</v>
      </c>
      <c r="E153" s="116">
        <f t="shared" si="36"/>
        <v>22847.076860833324</v>
      </c>
      <c r="F153" s="116">
        <f t="shared" ref="F153:F216" si="37">ROUND(IF(A153&gt;$G$6,(IF(A153&gt;=$C$3,B152+D153,PMT($C$4/12,$C$3-$G$6,-$B$24))),D153),0)</f>
        <v>55460</v>
      </c>
      <c r="G153" s="117">
        <v>0</v>
      </c>
      <c r="H153" s="116">
        <f t="shared" si="26"/>
        <v>55460</v>
      </c>
      <c r="I153" s="116">
        <f t="shared" ref="I153:I216" si="38">IF(A153&lt;=$C$3,H153+$C$17,0)</f>
        <v>55785</v>
      </c>
      <c r="J153" s="119">
        <f t="shared" ref="J153:J216" si="39">ROUND(IF(A153&gt;$G$6,(IF(A153&gt;=$C$3,B152+D153,PMT($L$12/12,$C$3-$G$6,-$B$24))),D153),0)</f>
        <v>57996</v>
      </c>
      <c r="K153" s="119">
        <f t="shared" ref="K153:K216" si="40">ROUND(IF(A153&gt;$G$6,(IF(A153&gt;=$C$3,B152+D153,PMT($L$13/12,$C$3-$G$6,-$B$24))),D153),0)</f>
        <v>60598</v>
      </c>
      <c r="L153" s="110"/>
      <c r="M153" s="110"/>
      <c r="N153" s="110"/>
      <c r="O153" s="110"/>
      <c r="P153" s="110"/>
      <c r="Q153" s="110"/>
      <c r="R153" s="110"/>
    </row>
    <row r="154" spans="1:23" x14ac:dyDescent="0.3">
      <c r="A154" s="109">
        <v>130</v>
      </c>
      <c r="B154" s="58">
        <f t="shared" ref="B154:B217" si="41">B153-C154</f>
        <v>5327810</v>
      </c>
      <c r="C154" s="116">
        <f t="shared" ref="C154:C217" si="42">+F154-D154</f>
        <v>42035</v>
      </c>
      <c r="D154" s="117">
        <f t="shared" ref="D154:D217" si="43">ROUND(IF(A154&gt;$G$6,B153*$C$4*30/360,0),0)</f>
        <v>13425</v>
      </c>
      <c r="E154" s="116">
        <f t="shared" si="36"/>
        <v>22847.076860833324</v>
      </c>
      <c r="F154" s="116">
        <f t="shared" si="37"/>
        <v>55460</v>
      </c>
      <c r="G154" s="117">
        <v>0</v>
      </c>
      <c r="H154" s="116">
        <f t="shared" si="26"/>
        <v>55460</v>
      </c>
      <c r="I154" s="116">
        <f t="shared" si="38"/>
        <v>55785</v>
      </c>
      <c r="J154" s="119">
        <f t="shared" si="39"/>
        <v>57996</v>
      </c>
      <c r="K154" s="119">
        <f t="shared" si="40"/>
        <v>60598</v>
      </c>
      <c r="L154" s="110"/>
      <c r="M154" s="110"/>
      <c r="N154" s="110"/>
      <c r="O154" s="110"/>
      <c r="P154" s="110"/>
      <c r="Q154" s="110"/>
      <c r="R154" s="110"/>
    </row>
    <row r="155" spans="1:23" x14ac:dyDescent="0.3">
      <c r="A155" s="109">
        <v>131</v>
      </c>
      <c r="B155" s="58">
        <f t="shared" si="41"/>
        <v>5285670</v>
      </c>
      <c r="C155" s="116">
        <f t="shared" si="42"/>
        <v>42140</v>
      </c>
      <c r="D155" s="117">
        <f t="shared" si="43"/>
        <v>13320</v>
      </c>
      <c r="E155" s="116">
        <f t="shared" si="36"/>
        <v>22847.076860833324</v>
      </c>
      <c r="F155" s="116">
        <f t="shared" si="37"/>
        <v>55460</v>
      </c>
      <c r="G155" s="117">
        <v>0</v>
      </c>
      <c r="H155" s="116">
        <f t="shared" ref="H155:H218" si="44">F155+G155</f>
        <v>55460</v>
      </c>
      <c r="I155" s="116">
        <f t="shared" si="38"/>
        <v>55785</v>
      </c>
      <c r="J155" s="119">
        <f t="shared" si="39"/>
        <v>57996</v>
      </c>
      <c r="K155" s="119">
        <f t="shared" si="40"/>
        <v>60598</v>
      </c>
      <c r="L155" s="110"/>
      <c r="M155" s="110"/>
      <c r="N155" s="110"/>
      <c r="O155" s="110"/>
      <c r="P155" s="110"/>
      <c r="Q155" s="110"/>
      <c r="R155" s="110"/>
    </row>
    <row r="156" spans="1:23" x14ac:dyDescent="0.3">
      <c r="A156" s="109">
        <v>132</v>
      </c>
      <c r="B156" s="58">
        <f t="shared" si="41"/>
        <v>5243424</v>
      </c>
      <c r="C156" s="116">
        <f t="shared" si="42"/>
        <v>42246</v>
      </c>
      <c r="D156" s="117">
        <f t="shared" si="43"/>
        <v>13214</v>
      </c>
      <c r="E156" s="116">
        <f t="shared" si="36"/>
        <v>22847.076860833324</v>
      </c>
      <c r="F156" s="116">
        <f t="shared" si="37"/>
        <v>55460</v>
      </c>
      <c r="G156" s="117">
        <v>0</v>
      </c>
      <c r="H156" s="116">
        <f t="shared" si="44"/>
        <v>55460</v>
      </c>
      <c r="I156" s="116">
        <f t="shared" si="38"/>
        <v>55785</v>
      </c>
      <c r="J156" s="119">
        <f t="shared" si="39"/>
        <v>57996</v>
      </c>
      <c r="K156" s="119">
        <f t="shared" si="40"/>
        <v>60598</v>
      </c>
      <c r="L156" s="58">
        <f t="shared" ref="L156:Q156" si="45">SUM(C145:C156)</f>
        <v>500054</v>
      </c>
      <c r="M156" s="58">
        <f t="shared" si="45"/>
        <v>165466</v>
      </c>
      <c r="N156" s="58">
        <f t="shared" si="45"/>
        <v>274164.92232999991</v>
      </c>
      <c r="O156" s="58">
        <f t="shared" si="45"/>
        <v>665520</v>
      </c>
      <c r="P156" s="58">
        <f t="shared" si="45"/>
        <v>0</v>
      </c>
      <c r="Q156" s="58">
        <f t="shared" si="45"/>
        <v>665520</v>
      </c>
      <c r="R156" s="58">
        <f>SUM(J145:J156)</f>
        <v>695952</v>
      </c>
      <c r="S156" s="29">
        <f>SUM(K145:K156)</f>
        <v>727176</v>
      </c>
      <c r="T156" s="29"/>
      <c r="U156" s="29"/>
      <c r="V156" s="29"/>
      <c r="W156" s="29"/>
    </row>
    <row r="157" spans="1:23" x14ac:dyDescent="0.3">
      <c r="A157" s="109">
        <v>133</v>
      </c>
      <c r="B157" s="58">
        <f t="shared" si="41"/>
        <v>5201073</v>
      </c>
      <c r="C157" s="116">
        <f t="shared" si="42"/>
        <v>42351</v>
      </c>
      <c r="D157" s="117">
        <f t="shared" si="43"/>
        <v>13109</v>
      </c>
      <c r="E157" s="116">
        <f t="shared" ref="E157:E168" si="46">IF(A157&gt;$C$3,0,$B$156*($C$5/12))</f>
        <v>20857.903719999991</v>
      </c>
      <c r="F157" s="116">
        <f t="shared" si="37"/>
        <v>55460</v>
      </c>
      <c r="G157" s="117">
        <v>0</v>
      </c>
      <c r="H157" s="116">
        <f t="shared" si="44"/>
        <v>55460</v>
      </c>
      <c r="I157" s="116">
        <f t="shared" si="38"/>
        <v>55785</v>
      </c>
      <c r="J157" s="119">
        <f t="shared" si="39"/>
        <v>57996</v>
      </c>
      <c r="K157" s="119">
        <f t="shared" si="40"/>
        <v>60598</v>
      </c>
      <c r="L157" s="110"/>
      <c r="M157" s="110"/>
      <c r="N157" s="110"/>
      <c r="O157" s="110"/>
      <c r="P157" s="110"/>
      <c r="Q157" s="110"/>
      <c r="R157" s="110"/>
    </row>
    <row r="158" spans="1:23" x14ac:dyDescent="0.3">
      <c r="A158" s="109">
        <v>134</v>
      </c>
      <c r="B158" s="58">
        <f t="shared" si="41"/>
        <v>5158616</v>
      </c>
      <c r="C158" s="116">
        <f t="shared" si="42"/>
        <v>42457</v>
      </c>
      <c r="D158" s="117">
        <f t="shared" si="43"/>
        <v>13003</v>
      </c>
      <c r="E158" s="116">
        <f t="shared" si="46"/>
        <v>20857.903719999991</v>
      </c>
      <c r="F158" s="116">
        <f t="shared" si="37"/>
        <v>55460</v>
      </c>
      <c r="G158" s="117">
        <v>0</v>
      </c>
      <c r="H158" s="116">
        <f t="shared" si="44"/>
        <v>55460</v>
      </c>
      <c r="I158" s="116">
        <f t="shared" si="38"/>
        <v>55785</v>
      </c>
      <c r="J158" s="119">
        <f t="shared" si="39"/>
        <v>57996</v>
      </c>
      <c r="K158" s="119">
        <f t="shared" si="40"/>
        <v>60598</v>
      </c>
      <c r="L158" s="110"/>
      <c r="M158" s="110"/>
      <c r="N158" s="110"/>
      <c r="O158" s="110"/>
      <c r="P158" s="110"/>
      <c r="Q158" s="110"/>
      <c r="R158" s="110"/>
    </row>
    <row r="159" spans="1:23" x14ac:dyDescent="0.3">
      <c r="A159" s="109">
        <v>135</v>
      </c>
      <c r="B159" s="58">
        <f t="shared" si="41"/>
        <v>5116053</v>
      </c>
      <c r="C159" s="116">
        <f t="shared" si="42"/>
        <v>42563</v>
      </c>
      <c r="D159" s="117">
        <f t="shared" si="43"/>
        <v>12897</v>
      </c>
      <c r="E159" s="116">
        <f t="shared" si="46"/>
        <v>20857.903719999991</v>
      </c>
      <c r="F159" s="116">
        <f t="shared" si="37"/>
        <v>55460</v>
      </c>
      <c r="G159" s="117">
        <v>0</v>
      </c>
      <c r="H159" s="116">
        <f t="shared" si="44"/>
        <v>55460</v>
      </c>
      <c r="I159" s="116">
        <f t="shared" si="38"/>
        <v>55785</v>
      </c>
      <c r="J159" s="119">
        <f t="shared" si="39"/>
        <v>57996</v>
      </c>
      <c r="K159" s="119">
        <f t="shared" si="40"/>
        <v>60598</v>
      </c>
      <c r="L159" s="110"/>
      <c r="M159" s="110"/>
      <c r="N159" s="110"/>
      <c r="O159" s="110"/>
      <c r="P159" s="110"/>
      <c r="Q159" s="110"/>
      <c r="R159" s="110"/>
    </row>
    <row r="160" spans="1:23" x14ac:dyDescent="0.3">
      <c r="A160" s="109">
        <v>136</v>
      </c>
      <c r="B160" s="58">
        <f t="shared" si="41"/>
        <v>5073383</v>
      </c>
      <c r="C160" s="116">
        <f t="shared" si="42"/>
        <v>42670</v>
      </c>
      <c r="D160" s="117">
        <f t="shared" si="43"/>
        <v>12790</v>
      </c>
      <c r="E160" s="116">
        <f t="shared" si="46"/>
        <v>20857.903719999991</v>
      </c>
      <c r="F160" s="116">
        <f t="shared" si="37"/>
        <v>55460</v>
      </c>
      <c r="G160" s="117">
        <v>0</v>
      </c>
      <c r="H160" s="116">
        <f t="shared" si="44"/>
        <v>55460</v>
      </c>
      <c r="I160" s="116">
        <f t="shared" si="38"/>
        <v>55785</v>
      </c>
      <c r="J160" s="119">
        <f t="shared" si="39"/>
        <v>57996</v>
      </c>
      <c r="K160" s="119">
        <f t="shared" si="40"/>
        <v>60598</v>
      </c>
      <c r="L160" s="110"/>
      <c r="M160" s="110"/>
      <c r="N160" s="110"/>
      <c r="O160" s="110"/>
      <c r="P160" s="110"/>
      <c r="Q160" s="110"/>
      <c r="R160" s="110"/>
    </row>
    <row r="161" spans="1:23" x14ac:dyDescent="0.3">
      <c r="A161" s="109">
        <v>137</v>
      </c>
      <c r="B161" s="58">
        <f t="shared" si="41"/>
        <v>5030606</v>
      </c>
      <c r="C161" s="116">
        <f t="shared" si="42"/>
        <v>42777</v>
      </c>
      <c r="D161" s="117">
        <f t="shared" si="43"/>
        <v>12683</v>
      </c>
      <c r="E161" s="116">
        <f t="shared" si="46"/>
        <v>20857.903719999991</v>
      </c>
      <c r="F161" s="116">
        <f t="shared" si="37"/>
        <v>55460</v>
      </c>
      <c r="G161" s="117">
        <v>0</v>
      </c>
      <c r="H161" s="116">
        <f t="shared" si="44"/>
        <v>55460</v>
      </c>
      <c r="I161" s="116">
        <f t="shared" si="38"/>
        <v>55785</v>
      </c>
      <c r="J161" s="119">
        <f t="shared" si="39"/>
        <v>57996</v>
      </c>
      <c r="K161" s="119">
        <f t="shared" si="40"/>
        <v>60598</v>
      </c>
      <c r="L161" s="110"/>
      <c r="M161" s="110"/>
      <c r="N161" s="110"/>
      <c r="O161" s="110"/>
      <c r="P161" s="110"/>
      <c r="Q161" s="110"/>
      <c r="R161" s="110"/>
    </row>
    <row r="162" spans="1:23" x14ac:dyDescent="0.3">
      <c r="A162" s="109">
        <v>138</v>
      </c>
      <c r="B162" s="58">
        <f t="shared" si="41"/>
        <v>4987723</v>
      </c>
      <c r="C162" s="116">
        <f t="shared" si="42"/>
        <v>42883</v>
      </c>
      <c r="D162" s="117">
        <f t="shared" si="43"/>
        <v>12577</v>
      </c>
      <c r="E162" s="116">
        <f t="shared" si="46"/>
        <v>20857.903719999991</v>
      </c>
      <c r="F162" s="116">
        <f t="shared" si="37"/>
        <v>55460</v>
      </c>
      <c r="G162" s="117">
        <v>0</v>
      </c>
      <c r="H162" s="116">
        <f t="shared" si="44"/>
        <v>55460</v>
      </c>
      <c r="I162" s="116">
        <f t="shared" si="38"/>
        <v>55785</v>
      </c>
      <c r="J162" s="119">
        <f t="shared" si="39"/>
        <v>57996</v>
      </c>
      <c r="K162" s="119">
        <f t="shared" si="40"/>
        <v>60598</v>
      </c>
      <c r="L162" s="110"/>
      <c r="M162" s="110"/>
      <c r="N162" s="110"/>
      <c r="O162" s="110"/>
      <c r="P162" s="110"/>
      <c r="Q162" s="110"/>
      <c r="R162" s="110"/>
    </row>
    <row r="163" spans="1:23" x14ac:dyDescent="0.3">
      <c r="A163" s="109">
        <v>139</v>
      </c>
      <c r="B163" s="58">
        <f t="shared" si="41"/>
        <v>4944732</v>
      </c>
      <c r="C163" s="116">
        <f t="shared" si="42"/>
        <v>42991</v>
      </c>
      <c r="D163" s="117">
        <f t="shared" si="43"/>
        <v>12469</v>
      </c>
      <c r="E163" s="116">
        <f t="shared" si="46"/>
        <v>20857.903719999991</v>
      </c>
      <c r="F163" s="116">
        <f t="shared" si="37"/>
        <v>55460</v>
      </c>
      <c r="G163" s="117">
        <v>0</v>
      </c>
      <c r="H163" s="116">
        <f t="shared" si="44"/>
        <v>55460</v>
      </c>
      <c r="I163" s="116">
        <f t="shared" si="38"/>
        <v>55785</v>
      </c>
      <c r="J163" s="119">
        <f t="shared" si="39"/>
        <v>57996</v>
      </c>
      <c r="K163" s="119">
        <f t="shared" si="40"/>
        <v>60598</v>
      </c>
      <c r="L163" s="110"/>
      <c r="M163" s="110"/>
      <c r="N163" s="110"/>
      <c r="O163" s="110"/>
      <c r="P163" s="110"/>
      <c r="Q163" s="110"/>
      <c r="R163" s="110"/>
    </row>
    <row r="164" spans="1:23" x14ac:dyDescent="0.3">
      <c r="A164" s="109">
        <v>140</v>
      </c>
      <c r="B164" s="58">
        <f t="shared" si="41"/>
        <v>4901634</v>
      </c>
      <c r="C164" s="116">
        <f t="shared" si="42"/>
        <v>43098</v>
      </c>
      <c r="D164" s="117">
        <f t="shared" si="43"/>
        <v>12362</v>
      </c>
      <c r="E164" s="116">
        <f t="shared" si="46"/>
        <v>20857.903719999991</v>
      </c>
      <c r="F164" s="116">
        <f t="shared" si="37"/>
        <v>55460</v>
      </c>
      <c r="G164" s="117">
        <v>0</v>
      </c>
      <c r="H164" s="116">
        <f t="shared" si="44"/>
        <v>55460</v>
      </c>
      <c r="I164" s="116">
        <f t="shared" si="38"/>
        <v>55785</v>
      </c>
      <c r="J164" s="119">
        <f t="shared" si="39"/>
        <v>57996</v>
      </c>
      <c r="K164" s="119">
        <f t="shared" si="40"/>
        <v>60598</v>
      </c>
      <c r="L164" s="110"/>
      <c r="M164" s="110"/>
      <c r="N164" s="110"/>
      <c r="O164" s="110"/>
      <c r="P164" s="110"/>
      <c r="Q164" s="110"/>
      <c r="R164" s="110"/>
    </row>
    <row r="165" spans="1:23" x14ac:dyDescent="0.3">
      <c r="A165" s="109">
        <v>141</v>
      </c>
      <c r="B165" s="58">
        <f t="shared" si="41"/>
        <v>4858428</v>
      </c>
      <c r="C165" s="116">
        <f t="shared" si="42"/>
        <v>43206</v>
      </c>
      <c r="D165" s="117">
        <f t="shared" si="43"/>
        <v>12254</v>
      </c>
      <c r="E165" s="116">
        <f t="shared" si="46"/>
        <v>20857.903719999991</v>
      </c>
      <c r="F165" s="116">
        <f t="shared" si="37"/>
        <v>55460</v>
      </c>
      <c r="G165" s="117">
        <v>0</v>
      </c>
      <c r="H165" s="116">
        <f t="shared" si="44"/>
        <v>55460</v>
      </c>
      <c r="I165" s="116">
        <f t="shared" si="38"/>
        <v>55785</v>
      </c>
      <c r="J165" s="119">
        <f t="shared" si="39"/>
        <v>57996</v>
      </c>
      <c r="K165" s="119">
        <f t="shared" si="40"/>
        <v>60598</v>
      </c>
      <c r="L165" s="110"/>
      <c r="M165" s="110"/>
      <c r="N165" s="110"/>
      <c r="O165" s="110"/>
      <c r="P165" s="110"/>
      <c r="Q165" s="110"/>
      <c r="R165" s="110"/>
    </row>
    <row r="166" spans="1:23" x14ac:dyDescent="0.3">
      <c r="A166" s="109">
        <v>142</v>
      </c>
      <c r="B166" s="58">
        <f t="shared" si="41"/>
        <v>4815114</v>
      </c>
      <c r="C166" s="116">
        <f t="shared" si="42"/>
        <v>43314</v>
      </c>
      <c r="D166" s="117">
        <f t="shared" si="43"/>
        <v>12146</v>
      </c>
      <c r="E166" s="116">
        <f t="shared" si="46"/>
        <v>20857.903719999991</v>
      </c>
      <c r="F166" s="116">
        <f t="shared" si="37"/>
        <v>55460</v>
      </c>
      <c r="G166" s="117">
        <v>0</v>
      </c>
      <c r="H166" s="116">
        <f t="shared" si="44"/>
        <v>55460</v>
      </c>
      <c r="I166" s="116">
        <f t="shared" si="38"/>
        <v>55785</v>
      </c>
      <c r="J166" s="119">
        <f t="shared" si="39"/>
        <v>57996</v>
      </c>
      <c r="K166" s="119">
        <f t="shared" si="40"/>
        <v>60598</v>
      </c>
      <c r="L166" s="110"/>
      <c r="M166" s="110"/>
      <c r="N166" s="110"/>
      <c r="O166" s="110"/>
      <c r="P166" s="110"/>
      <c r="Q166" s="110"/>
      <c r="R166" s="110"/>
    </row>
    <row r="167" spans="1:23" x14ac:dyDescent="0.3">
      <c r="A167" s="109">
        <v>143</v>
      </c>
      <c r="B167" s="58">
        <f t="shared" si="41"/>
        <v>4771692</v>
      </c>
      <c r="C167" s="116">
        <f t="shared" si="42"/>
        <v>43422</v>
      </c>
      <c r="D167" s="117">
        <f t="shared" si="43"/>
        <v>12038</v>
      </c>
      <c r="E167" s="116">
        <f t="shared" si="46"/>
        <v>20857.903719999991</v>
      </c>
      <c r="F167" s="116">
        <f t="shared" si="37"/>
        <v>55460</v>
      </c>
      <c r="G167" s="117">
        <v>0</v>
      </c>
      <c r="H167" s="116">
        <f t="shared" si="44"/>
        <v>55460</v>
      </c>
      <c r="I167" s="116">
        <f t="shared" si="38"/>
        <v>55785</v>
      </c>
      <c r="J167" s="119">
        <f t="shared" si="39"/>
        <v>57996</v>
      </c>
      <c r="K167" s="119">
        <f t="shared" si="40"/>
        <v>60598</v>
      </c>
      <c r="L167" s="110"/>
      <c r="M167" s="110"/>
      <c r="N167" s="110"/>
      <c r="O167" s="110"/>
      <c r="P167" s="110"/>
      <c r="Q167" s="110"/>
      <c r="R167" s="110"/>
    </row>
    <row r="168" spans="1:23" x14ac:dyDescent="0.3">
      <c r="A168" s="109">
        <v>144</v>
      </c>
      <c r="B168" s="58">
        <f t="shared" si="41"/>
        <v>4728161</v>
      </c>
      <c r="C168" s="116">
        <f t="shared" si="42"/>
        <v>43531</v>
      </c>
      <c r="D168" s="117">
        <f t="shared" si="43"/>
        <v>11929</v>
      </c>
      <c r="E168" s="116">
        <f t="shared" si="46"/>
        <v>20857.903719999991</v>
      </c>
      <c r="F168" s="116">
        <f t="shared" si="37"/>
        <v>55460</v>
      </c>
      <c r="G168" s="117">
        <v>0</v>
      </c>
      <c r="H168" s="116">
        <f t="shared" si="44"/>
        <v>55460</v>
      </c>
      <c r="I168" s="116">
        <f t="shared" si="38"/>
        <v>55785</v>
      </c>
      <c r="J168" s="119">
        <f t="shared" si="39"/>
        <v>57996</v>
      </c>
      <c r="K168" s="119">
        <f t="shared" si="40"/>
        <v>60598</v>
      </c>
      <c r="L168" s="58">
        <f t="shared" ref="L168:Q168" si="47">SUM(C157:C168)</f>
        <v>515263</v>
      </c>
      <c r="M168" s="58">
        <f t="shared" si="47"/>
        <v>150257</v>
      </c>
      <c r="N168" s="58">
        <f t="shared" si="47"/>
        <v>250294.84463999994</v>
      </c>
      <c r="O168" s="58">
        <f t="shared" si="47"/>
        <v>665520</v>
      </c>
      <c r="P168" s="58">
        <f t="shared" si="47"/>
        <v>0</v>
      </c>
      <c r="Q168" s="58">
        <f t="shared" si="47"/>
        <v>665520</v>
      </c>
      <c r="R168" s="58">
        <f>SUM(J157:J168)</f>
        <v>695952</v>
      </c>
      <c r="S168" s="29">
        <f>SUM(K157:K168)</f>
        <v>727176</v>
      </c>
      <c r="T168" s="29"/>
      <c r="U168" s="29"/>
      <c r="V168" s="29"/>
      <c r="W168" s="29"/>
    </row>
    <row r="169" spans="1:23" x14ac:dyDescent="0.3">
      <c r="A169" s="109">
        <v>145</v>
      </c>
      <c r="B169" s="58">
        <f t="shared" si="41"/>
        <v>4684521</v>
      </c>
      <c r="C169" s="116">
        <f t="shared" si="42"/>
        <v>43640</v>
      </c>
      <c r="D169" s="117">
        <f t="shared" si="43"/>
        <v>11820</v>
      </c>
      <c r="E169" s="116">
        <f t="shared" ref="E169:E180" si="48">IF(A169&gt;$C$3,0,$B$168*($C$5/12))</f>
        <v>18808.230444583325</v>
      </c>
      <c r="F169" s="116">
        <f t="shared" si="37"/>
        <v>55460</v>
      </c>
      <c r="G169" s="117">
        <v>0</v>
      </c>
      <c r="H169" s="116">
        <f t="shared" si="44"/>
        <v>55460</v>
      </c>
      <c r="I169" s="116">
        <f t="shared" si="38"/>
        <v>55785</v>
      </c>
      <c r="J169" s="119">
        <f t="shared" si="39"/>
        <v>57996</v>
      </c>
      <c r="K169" s="119">
        <f t="shared" si="40"/>
        <v>60598</v>
      </c>
      <c r="L169" s="110"/>
      <c r="M169" s="110"/>
      <c r="N169" s="110"/>
      <c r="O169" s="110"/>
      <c r="P169" s="110"/>
      <c r="Q169" s="110"/>
      <c r="R169" s="110"/>
    </row>
    <row r="170" spans="1:23" x14ac:dyDescent="0.3">
      <c r="A170" s="109">
        <v>146</v>
      </c>
      <c r="B170" s="58">
        <f t="shared" si="41"/>
        <v>4640772</v>
      </c>
      <c r="C170" s="116">
        <f t="shared" si="42"/>
        <v>43749</v>
      </c>
      <c r="D170" s="117">
        <f t="shared" si="43"/>
        <v>11711</v>
      </c>
      <c r="E170" s="116">
        <f t="shared" si="48"/>
        <v>18808.230444583325</v>
      </c>
      <c r="F170" s="116">
        <f t="shared" si="37"/>
        <v>55460</v>
      </c>
      <c r="G170" s="117">
        <v>0</v>
      </c>
      <c r="H170" s="116">
        <f t="shared" si="44"/>
        <v>55460</v>
      </c>
      <c r="I170" s="116">
        <f t="shared" si="38"/>
        <v>55785</v>
      </c>
      <c r="J170" s="119">
        <f t="shared" si="39"/>
        <v>57996</v>
      </c>
      <c r="K170" s="119">
        <f t="shared" si="40"/>
        <v>60598</v>
      </c>
      <c r="L170" s="110"/>
      <c r="M170" s="110"/>
      <c r="N170" s="110"/>
      <c r="O170" s="110"/>
      <c r="P170" s="110"/>
      <c r="Q170" s="110"/>
      <c r="R170" s="110"/>
    </row>
    <row r="171" spans="1:23" x14ac:dyDescent="0.3">
      <c r="A171" s="109">
        <v>147</v>
      </c>
      <c r="B171" s="58">
        <f t="shared" si="41"/>
        <v>4596914</v>
      </c>
      <c r="C171" s="116">
        <f t="shared" si="42"/>
        <v>43858</v>
      </c>
      <c r="D171" s="117">
        <f t="shared" si="43"/>
        <v>11602</v>
      </c>
      <c r="E171" s="116">
        <f t="shared" si="48"/>
        <v>18808.230444583325</v>
      </c>
      <c r="F171" s="116">
        <f t="shared" si="37"/>
        <v>55460</v>
      </c>
      <c r="G171" s="117">
        <v>0</v>
      </c>
      <c r="H171" s="116">
        <f t="shared" si="44"/>
        <v>55460</v>
      </c>
      <c r="I171" s="116">
        <f t="shared" si="38"/>
        <v>55785</v>
      </c>
      <c r="J171" s="119">
        <f t="shared" si="39"/>
        <v>57996</v>
      </c>
      <c r="K171" s="119">
        <f t="shared" si="40"/>
        <v>60598</v>
      </c>
      <c r="L171" s="110"/>
      <c r="M171" s="110"/>
      <c r="N171" s="110"/>
      <c r="O171" s="110"/>
      <c r="P171" s="110"/>
      <c r="Q171" s="110"/>
      <c r="R171" s="110"/>
    </row>
    <row r="172" spans="1:23" x14ac:dyDescent="0.3">
      <c r="A172" s="109">
        <v>148</v>
      </c>
      <c r="B172" s="58">
        <f t="shared" si="41"/>
        <v>4552946</v>
      </c>
      <c r="C172" s="116">
        <f t="shared" si="42"/>
        <v>43968</v>
      </c>
      <c r="D172" s="117">
        <f t="shared" si="43"/>
        <v>11492</v>
      </c>
      <c r="E172" s="116">
        <f t="shared" si="48"/>
        <v>18808.230444583325</v>
      </c>
      <c r="F172" s="116">
        <f t="shared" si="37"/>
        <v>55460</v>
      </c>
      <c r="G172" s="117">
        <v>0</v>
      </c>
      <c r="H172" s="116">
        <f t="shared" si="44"/>
        <v>55460</v>
      </c>
      <c r="I172" s="116">
        <f t="shared" si="38"/>
        <v>55785</v>
      </c>
      <c r="J172" s="119">
        <f t="shared" si="39"/>
        <v>57996</v>
      </c>
      <c r="K172" s="119">
        <f t="shared" si="40"/>
        <v>60598</v>
      </c>
      <c r="L172" s="110"/>
      <c r="M172" s="110"/>
      <c r="N172" s="110"/>
      <c r="O172" s="110"/>
      <c r="P172" s="110"/>
      <c r="Q172" s="110"/>
      <c r="R172" s="110"/>
    </row>
    <row r="173" spans="1:23" x14ac:dyDescent="0.3">
      <c r="A173" s="109">
        <v>149</v>
      </c>
      <c r="B173" s="58">
        <f t="shared" si="41"/>
        <v>4508868</v>
      </c>
      <c r="C173" s="116">
        <f t="shared" si="42"/>
        <v>44078</v>
      </c>
      <c r="D173" s="117">
        <f t="shared" si="43"/>
        <v>11382</v>
      </c>
      <c r="E173" s="116">
        <f t="shared" si="48"/>
        <v>18808.230444583325</v>
      </c>
      <c r="F173" s="116">
        <f t="shared" si="37"/>
        <v>55460</v>
      </c>
      <c r="G173" s="117">
        <v>0</v>
      </c>
      <c r="H173" s="116">
        <f t="shared" si="44"/>
        <v>55460</v>
      </c>
      <c r="I173" s="116">
        <f t="shared" si="38"/>
        <v>55785</v>
      </c>
      <c r="J173" s="119">
        <f t="shared" si="39"/>
        <v>57996</v>
      </c>
      <c r="K173" s="119">
        <f t="shared" si="40"/>
        <v>60598</v>
      </c>
      <c r="L173" s="110"/>
      <c r="M173" s="110"/>
      <c r="N173" s="110"/>
      <c r="O173" s="110"/>
      <c r="P173" s="110"/>
      <c r="Q173" s="110"/>
      <c r="R173" s="110"/>
    </row>
    <row r="174" spans="1:23" x14ac:dyDescent="0.3">
      <c r="A174" s="109">
        <v>150</v>
      </c>
      <c r="B174" s="58">
        <f t="shared" si="41"/>
        <v>4464680</v>
      </c>
      <c r="C174" s="116">
        <f t="shared" si="42"/>
        <v>44188</v>
      </c>
      <c r="D174" s="117">
        <f t="shared" si="43"/>
        <v>11272</v>
      </c>
      <c r="E174" s="116">
        <f t="shared" si="48"/>
        <v>18808.230444583325</v>
      </c>
      <c r="F174" s="116">
        <f t="shared" si="37"/>
        <v>55460</v>
      </c>
      <c r="G174" s="117">
        <v>0</v>
      </c>
      <c r="H174" s="116">
        <f t="shared" si="44"/>
        <v>55460</v>
      </c>
      <c r="I174" s="116">
        <f t="shared" si="38"/>
        <v>55785</v>
      </c>
      <c r="J174" s="119">
        <f t="shared" si="39"/>
        <v>57996</v>
      </c>
      <c r="K174" s="119">
        <f t="shared" si="40"/>
        <v>60598</v>
      </c>
      <c r="L174" s="110"/>
      <c r="M174" s="110"/>
      <c r="N174" s="110"/>
      <c r="O174" s="110"/>
      <c r="P174" s="110"/>
      <c r="Q174" s="110"/>
      <c r="R174" s="110"/>
    </row>
    <row r="175" spans="1:23" x14ac:dyDescent="0.3">
      <c r="A175" s="109">
        <v>151</v>
      </c>
      <c r="B175" s="58">
        <f t="shared" si="41"/>
        <v>4420382</v>
      </c>
      <c r="C175" s="116">
        <f t="shared" si="42"/>
        <v>44298</v>
      </c>
      <c r="D175" s="117">
        <f t="shared" si="43"/>
        <v>11162</v>
      </c>
      <c r="E175" s="116">
        <f t="shared" si="48"/>
        <v>18808.230444583325</v>
      </c>
      <c r="F175" s="116">
        <f t="shared" si="37"/>
        <v>55460</v>
      </c>
      <c r="G175" s="117">
        <v>0</v>
      </c>
      <c r="H175" s="116">
        <f t="shared" si="44"/>
        <v>55460</v>
      </c>
      <c r="I175" s="116">
        <f t="shared" si="38"/>
        <v>55785</v>
      </c>
      <c r="J175" s="119">
        <f t="shared" si="39"/>
        <v>57996</v>
      </c>
      <c r="K175" s="119">
        <f t="shared" si="40"/>
        <v>60598</v>
      </c>
      <c r="L175" s="110"/>
      <c r="M175" s="110"/>
      <c r="N175" s="110"/>
      <c r="O175" s="110"/>
      <c r="P175" s="110"/>
      <c r="Q175" s="110"/>
      <c r="R175" s="110"/>
    </row>
    <row r="176" spans="1:23" x14ac:dyDescent="0.3">
      <c r="A176" s="109">
        <v>152</v>
      </c>
      <c r="B176" s="58">
        <f t="shared" si="41"/>
        <v>4375973</v>
      </c>
      <c r="C176" s="116">
        <f t="shared" si="42"/>
        <v>44409</v>
      </c>
      <c r="D176" s="117">
        <f t="shared" si="43"/>
        <v>11051</v>
      </c>
      <c r="E176" s="116">
        <f t="shared" si="48"/>
        <v>18808.230444583325</v>
      </c>
      <c r="F176" s="116">
        <f t="shared" si="37"/>
        <v>55460</v>
      </c>
      <c r="G176" s="117">
        <v>0</v>
      </c>
      <c r="H176" s="116">
        <f t="shared" si="44"/>
        <v>55460</v>
      </c>
      <c r="I176" s="116">
        <f t="shared" si="38"/>
        <v>55785</v>
      </c>
      <c r="J176" s="119">
        <f t="shared" si="39"/>
        <v>57996</v>
      </c>
      <c r="K176" s="119">
        <f t="shared" si="40"/>
        <v>60598</v>
      </c>
      <c r="L176" s="110"/>
      <c r="M176" s="110"/>
      <c r="N176" s="110"/>
      <c r="O176" s="110"/>
      <c r="P176" s="110"/>
      <c r="Q176" s="110"/>
      <c r="R176" s="110"/>
    </row>
    <row r="177" spans="1:23" x14ac:dyDescent="0.3">
      <c r="A177" s="109">
        <v>153</v>
      </c>
      <c r="B177" s="58">
        <f t="shared" si="41"/>
        <v>4331453</v>
      </c>
      <c r="C177" s="116">
        <f t="shared" si="42"/>
        <v>44520</v>
      </c>
      <c r="D177" s="117">
        <f t="shared" si="43"/>
        <v>10940</v>
      </c>
      <c r="E177" s="116">
        <f t="shared" si="48"/>
        <v>18808.230444583325</v>
      </c>
      <c r="F177" s="116">
        <f t="shared" si="37"/>
        <v>55460</v>
      </c>
      <c r="G177" s="117">
        <v>0</v>
      </c>
      <c r="H177" s="116">
        <f t="shared" si="44"/>
        <v>55460</v>
      </c>
      <c r="I177" s="116">
        <f t="shared" si="38"/>
        <v>55785</v>
      </c>
      <c r="J177" s="119">
        <f t="shared" si="39"/>
        <v>57996</v>
      </c>
      <c r="K177" s="119">
        <f t="shared" si="40"/>
        <v>60598</v>
      </c>
      <c r="L177" s="110"/>
      <c r="M177" s="110"/>
      <c r="N177" s="110"/>
      <c r="O177" s="110"/>
      <c r="P177" s="110"/>
      <c r="Q177" s="110"/>
      <c r="R177" s="110"/>
    </row>
    <row r="178" spans="1:23" x14ac:dyDescent="0.3">
      <c r="A178" s="109">
        <v>154</v>
      </c>
      <c r="B178" s="58">
        <f t="shared" si="41"/>
        <v>4286822</v>
      </c>
      <c r="C178" s="116">
        <f t="shared" si="42"/>
        <v>44631</v>
      </c>
      <c r="D178" s="117">
        <f t="shared" si="43"/>
        <v>10829</v>
      </c>
      <c r="E178" s="116">
        <f t="shared" si="48"/>
        <v>18808.230444583325</v>
      </c>
      <c r="F178" s="116">
        <f t="shared" si="37"/>
        <v>55460</v>
      </c>
      <c r="G178" s="117">
        <v>0</v>
      </c>
      <c r="H178" s="116">
        <f t="shared" si="44"/>
        <v>55460</v>
      </c>
      <c r="I178" s="116">
        <f t="shared" si="38"/>
        <v>55785</v>
      </c>
      <c r="J178" s="119">
        <f t="shared" si="39"/>
        <v>57996</v>
      </c>
      <c r="K178" s="119">
        <f t="shared" si="40"/>
        <v>60598</v>
      </c>
      <c r="L178" s="110"/>
      <c r="M178" s="110"/>
      <c r="N178" s="110"/>
      <c r="O178" s="110"/>
      <c r="P178" s="110"/>
      <c r="Q178" s="110"/>
      <c r="R178" s="110"/>
    </row>
    <row r="179" spans="1:23" x14ac:dyDescent="0.3">
      <c r="A179" s="109">
        <v>155</v>
      </c>
      <c r="B179" s="58">
        <f t="shared" si="41"/>
        <v>4242079</v>
      </c>
      <c r="C179" s="116">
        <f t="shared" si="42"/>
        <v>44743</v>
      </c>
      <c r="D179" s="117">
        <f t="shared" si="43"/>
        <v>10717</v>
      </c>
      <c r="E179" s="116">
        <f t="shared" si="48"/>
        <v>18808.230444583325</v>
      </c>
      <c r="F179" s="116">
        <f t="shared" si="37"/>
        <v>55460</v>
      </c>
      <c r="G179" s="117">
        <v>0</v>
      </c>
      <c r="H179" s="116">
        <f t="shared" si="44"/>
        <v>55460</v>
      </c>
      <c r="I179" s="116">
        <f t="shared" si="38"/>
        <v>55785</v>
      </c>
      <c r="J179" s="119">
        <f t="shared" si="39"/>
        <v>57996</v>
      </c>
      <c r="K179" s="119">
        <f t="shared" si="40"/>
        <v>60598</v>
      </c>
      <c r="L179" s="110"/>
      <c r="M179" s="110"/>
      <c r="N179" s="110"/>
      <c r="O179" s="110"/>
      <c r="P179" s="110"/>
      <c r="Q179" s="110"/>
      <c r="R179" s="110"/>
    </row>
    <row r="180" spans="1:23" x14ac:dyDescent="0.3">
      <c r="A180" s="109">
        <v>156</v>
      </c>
      <c r="B180" s="58">
        <f t="shared" si="41"/>
        <v>4197224</v>
      </c>
      <c r="C180" s="116">
        <f t="shared" si="42"/>
        <v>44855</v>
      </c>
      <c r="D180" s="117">
        <f t="shared" si="43"/>
        <v>10605</v>
      </c>
      <c r="E180" s="116">
        <f t="shared" si="48"/>
        <v>18808.230444583325</v>
      </c>
      <c r="F180" s="116">
        <f t="shared" si="37"/>
        <v>55460</v>
      </c>
      <c r="G180" s="117">
        <v>0</v>
      </c>
      <c r="H180" s="116">
        <f t="shared" si="44"/>
        <v>55460</v>
      </c>
      <c r="I180" s="116">
        <f t="shared" si="38"/>
        <v>55785</v>
      </c>
      <c r="J180" s="119">
        <f t="shared" si="39"/>
        <v>57996</v>
      </c>
      <c r="K180" s="119">
        <f t="shared" si="40"/>
        <v>60598</v>
      </c>
      <c r="L180" s="58">
        <f t="shared" ref="L180:Q180" si="49">SUM(C169:C180)</f>
        <v>530937</v>
      </c>
      <c r="M180" s="58">
        <f t="shared" si="49"/>
        <v>134583</v>
      </c>
      <c r="N180" s="58">
        <f t="shared" si="49"/>
        <v>225698.76533499986</v>
      </c>
      <c r="O180" s="58">
        <f t="shared" si="49"/>
        <v>665520</v>
      </c>
      <c r="P180" s="58">
        <f t="shared" si="49"/>
        <v>0</v>
      </c>
      <c r="Q180" s="58">
        <f t="shared" si="49"/>
        <v>665520</v>
      </c>
      <c r="R180" s="58">
        <f>SUM(J169:J180)</f>
        <v>695952</v>
      </c>
      <c r="S180" s="29">
        <f>SUM(K169:K180)</f>
        <v>727176</v>
      </c>
      <c r="T180" s="29"/>
      <c r="U180" s="29"/>
      <c r="V180" s="29"/>
      <c r="W180" s="29"/>
    </row>
    <row r="181" spans="1:23" x14ac:dyDescent="0.3">
      <c r="A181" s="109">
        <v>157</v>
      </c>
      <c r="B181" s="58">
        <f t="shared" si="41"/>
        <v>4152257</v>
      </c>
      <c r="C181" s="116">
        <f t="shared" si="42"/>
        <v>44967</v>
      </c>
      <c r="D181" s="117">
        <f t="shared" si="43"/>
        <v>10493</v>
      </c>
      <c r="E181" s="116">
        <f t="shared" ref="E181:E192" si="50">IF(A181&gt;$C$3,0,$B$180*($C$5/12))</f>
        <v>16696.207303333325</v>
      </c>
      <c r="F181" s="116">
        <f t="shared" si="37"/>
        <v>55460</v>
      </c>
      <c r="G181" s="117">
        <v>0</v>
      </c>
      <c r="H181" s="116">
        <f t="shared" si="44"/>
        <v>55460</v>
      </c>
      <c r="I181" s="116">
        <f t="shared" si="38"/>
        <v>55785</v>
      </c>
      <c r="J181" s="119">
        <f t="shared" si="39"/>
        <v>57996</v>
      </c>
      <c r="K181" s="119">
        <f t="shared" si="40"/>
        <v>60598</v>
      </c>
      <c r="L181" s="110"/>
      <c r="M181" s="110"/>
      <c r="N181" s="110"/>
      <c r="O181" s="110"/>
      <c r="P181" s="110"/>
      <c r="Q181" s="110"/>
      <c r="R181" s="110"/>
    </row>
    <row r="182" spans="1:23" x14ac:dyDescent="0.3">
      <c r="A182" s="109">
        <v>158</v>
      </c>
      <c r="B182" s="58">
        <f t="shared" si="41"/>
        <v>4107178</v>
      </c>
      <c r="C182" s="116">
        <f t="shared" si="42"/>
        <v>45079</v>
      </c>
      <c r="D182" s="117">
        <f t="shared" si="43"/>
        <v>10381</v>
      </c>
      <c r="E182" s="116">
        <f t="shared" si="50"/>
        <v>16696.207303333325</v>
      </c>
      <c r="F182" s="116">
        <f t="shared" si="37"/>
        <v>55460</v>
      </c>
      <c r="G182" s="117">
        <v>0</v>
      </c>
      <c r="H182" s="116">
        <f t="shared" si="44"/>
        <v>55460</v>
      </c>
      <c r="I182" s="116">
        <f t="shared" si="38"/>
        <v>55785</v>
      </c>
      <c r="J182" s="119">
        <f t="shared" si="39"/>
        <v>57996</v>
      </c>
      <c r="K182" s="119">
        <f t="shared" si="40"/>
        <v>60598</v>
      </c>
      <c r="L182" s="110"/>
      <c r="M182" s="110"/>
      <c r="N182" s="110"/>
      <c r="O182" s="110"/>
      <c r="P182" s="110"/>
      <c r="Q182" s="110"/>
      <c r="R182" s="110"/>
    </row>
    <row r="183" spans="1:23" x14ac:dyDescent="0.3">
      <c r="A183" s="109">
        <v>159</v>
      </c>
      <c r="B183" s="58">
        <f t="shared" si="41"/>
        <v>4061986</v>
      </c>
      <c r="C183" s="116">
        <f t="shared" si="42"/>
        <v>45192</v>
      </c>
      <c r="D183" s="117">
        <f t="shared" si="43"/>
        <v>10268</v>
      </c>
      <c r="E183" s="116">
        <f t="shared" si="50"/>
        <v>16696.207303333325</v>
      </c>
      <c r="F183" s="116">
        <f t="shared" si="37"/>
        <v>55460</v>
      </c>
      <c r="G183" s="117">
        <v>0</v>
      </c>
      <c r="H183" s="116">
        <f t="shared" si="44"/>
        <v>55460</v>
      </c>
      <c r="I183" s="116">
        <f t="shared" si="38"/>
        <v>55785</v>
      </c>
      <c r="J183" s="119">
        <f t="shared" si="39"/>
        <v>57996</v>
      </c>
      <c r="K183" s="119">
        <f t="shared" si="40"/>
        <v>60598</v>
      </c>
      <c r="L183" s="110"/>
      <c r="M183" s="110"/>
      <c r="N183" s="110"/>
      <c r="O183" s="110"/>
      <c r="P183" s="110"/>
      <c r="Q183" s="110"/>
      <c r="R183" s="110"/>
    </row>
    <row r="184" spans="1:23" x14ac:dyDescent="0.3">
      <c r="A184" s="109">
        <v>160</v>
      </c>
      <c r="B184" s="58">
        <f t="shared" si="41"/>
        <v>4016681</v>
      </c>
      <c r="C184" s="116">
        <f t="shared" si="42"/>
        <v>45305</v>
      </c>
      <c r="D184" s="117">
        <f t="shared" si="43"/>
        <v>10155</v>
      </c>
      <c r="E184" s="116">
        <f t="shared" si="50"/>
        <v>16696.207303333325</v>
      </c>
      <c r="F184" s="116">
        <f t="shared" si="37"/>
        <v>55460</v>
      </c>
      <c r="G184" s="117">
        <v>0</v>
      </c>
      <c r="H184" s="116">
        <f t="shared" si="44"/>
        <v>55460</v>
      </c>
      <c r="I184" s="116">
        <f t="shared" si="38"/>
        <v>55785</v>
      </c>
      <c r="J184" s="119">
        <f t="shared" si="39"/>
        <v>57996</v>
      </c>
      <c r="K184" s="119">
        <f t="shared" si="40"/>
        <v>60598</v>
      </c>
      <c r="L184" s="110"/>
      <c r="M184" s="110"/>
      <c r="N184" s="110"/>
      <c r="O184" s="110"/>
      <c r="P184" s="110"/>
      <c r="Q184" s="110"/>
      <c r="R184" s="110"/>
    </row>
    <row r="185" spans="1:23" x14ac:dyDescent="0.3">
      <c r="A185" s="109">
        <v>161</v>
      </c>
      <c r="B185" s="58">
        <f t="shared" si="41"/>
        <v>3971263</v>
      </c>
      <c r="C185" s="116">
        <f t="shared" si="42"/>
        <v>45418</v>
      </c>
      <c r="D185" s="117">
        <f t="shared" si="43"/>
        <v>10042</v>
      </c>
      <c r="E185" s="116">
        <f t="shared" si="50"/>
        <v>16696.207303333325</v>
      </c>
      <c r="F185" s="116">
        <f t="shared" si="37"/>
        <v>55460</v>
      </c>
      <c r="G185" s="117">
        <v>0</v>
      </c>
      <c r="H185" s="116">
        <f t="shared" si="44"/>
        <v>55460</v>
      </c>
      <c r="I185" s="116">
        <f t="shared" si="38"/>
        <v>55785</v>
      </c>
      <c r="J185" s="119">
        <f t="shared" si="39"/>
        <v>57996</v>
      </c>
      <c r="K185" s="119">
        <f t="shared" si="40"/>
        <v>60598</v>
      </c>
      <c r="L185" s="110"/>
      <c r="M185" s="110"/>
      <c r="N185" s="110"/>
      <c r="O185" s="110"/>
      <c r="P185" s="110"/>
      <c r="Q185" s="110"/>
      <c r="R185" s="110"/>
    </row>
    <row r="186" spans="1:23" x14ac:dyDescent="0.3">
      <c r="A186" s="109">
        <v>162</v>
      </c>
      <c r="B186" s="58">
        <f t="shared" si="41"/>
        <v>3925731</v>
      </c>
      <c r="C186" s="116">
        <f t="shared" si="42"/>
        <v>45532</v>
      </c>
      <c r="D186" s="117">
        <f t="shared" si="43"/>
        <v>9928</v>
      </c>
      <c r="E186" s="116">
        <f t="shared" si="50"/>
        <v>16696.207303333325</v>
      </c>
      <c r="F186" s="116">
        <f t="shared" si="37"/>
        <v>55460</v>
      </c>
      <c r="G186" s="117">
        <v>0</v>
      </c>
      <c r="H186" s="116">
        <f t="shared" si="44"/>
        <v>55460</v>
      </c>
      <c r="I186" s="116">
        <f t="shared" si="38"/>
        <v>55785</v>
      </c>
      <c r="J186" s="119">
        <f t="shared" si="39"/>
        <v>57996</v>
      </c>
      <c r="K186" s="119">
        <f t="shared" si="40"/>
        <v>60598</v>
      </c>
      <c r="L186" s="110"/>
      <c r="M186" s="110"/>
      <c r="N186" s="110"/>
      <c r="O186" s="110"/>
      <c r="P186" s="110"/>
      <c r="Q186" s="110"/>
      <c r="R186" s="110"/>
    </row>
    <row r="187" spans="1:23" x14ac:dyDescent="0.3">
      <c r="A187" s="109">
        <v>163</v>
      </c>
      <c r="B187" s="58">
        <f t="shared" si="41"/>
        <v>3880085</v>
      </c>
      <c r="C187" s="116">
        <f t="shared" si="42"/>
        <v>45646</v>
      </c>
      <c r="D187" s="117">
        <f t="shared" si="43"/>
        <v>9814</v>
      </c>
      <c r="E187" s="116">
        <f t="shared" si="50"/>
        <v>16696.207303333325</v>
      </c>
      <c r="F187" s="116">
        <f t="shared" si="37"/>
        <v>55460</v>
      </c>
      <c r="G187" s="117">
        <v>0</v>
      </c>
      <c r="H187" s="116">
        <f t="shared" si="44"/>
        <v>55460</v>
      </c>
      <c r="I187" s="116">
        <f t="shared" si="38"/>
        <v>55785</v>
      </c>
      <c r="J187" s="119">
        <f t="shared" si="39"/>
        <v>57996</v>
      </c>
      <c r="K187" s="119">
        <f t="shared" si="40"/>
        <v>60598</v>
      </c>
      <c r="L187" s="110"/>
      <c r="M187" s="110"/>
      <c r="N187" s="110"/>
      <c r="O187" s="110"/>
      <c r="P187" s="110"/>
      <c r="Q187" s="110"/>
      <c r="R187" s="110"/>
    </row>
    <row r="188" spans="1:23" x14ac:dyDescent="0.3">
      <c r="A188" s="109">
        <v>164</v>
      </c>
      <c r="B188" s="58">
        <f t="shared" si="41"/>
        <v>3834325</v>
      </c>
      <c r="C188" s="116">
        <f t="shared" si="42"/>
        <v>45760</v>
      </c>
      <c r="D188" s="117">
        <f t="shared" si="43"/>
        <v>9700</v>
      </c>
      <c r="E188" s="116">
        <f t="shared" si="50"/>
        <v>16696.207303333325</v>
      </c>
      <c r="F188" s="116">
        <f t="shared" si="37"/>
        <v>55460</v>
      </c>
      <c r="G188" s="117">
        <v>0</v>
      </c>
      <c r="H188" s="116">
        <f t="shared" si="44"/>
        <v>55460</v>
      </c>
      <c r="I188" s="116">
        <f t="shared" si="38"/>
        <v>55785</v>
      </c>
      <c r="J188" s="119">
        <f t="shared" si="39"/>
        <v>57996</v>
      </c>
      <c r="K188" s="119">
        <f t="shared" si="40"/>
        <v>60598</v>
      </c>
      <c r="L188" s="110"/>
      <c r="M188" s="110"/>
      <c r="N188" s="110"/>
      <c r="O188" s="110"/>
      <c r="P188" s="110"/>
      <c r="Q188" s="110"/>
      <c r="R188" s="110"/>
    </row>
    <row r="189" spans="1:23" x14ac:dyDescent="0.3">
      <c r="A189" s="109">
        <v>165</v>
      </c>
      <c r="B189" s="58">
        <f t="shared" si="41"/>
        <v>3788451</v>
      </c>
      <c r="C189" s="116">
        <f t="shared" si="42"/>
        <v>45874</v>
      </c>
      <c r="D189" s="117">
        <f t="shared" si="43"/>
        <v>9586</v>
      </c>
      <c r="E189" s="116">
        <f t="shared" si="50"/>
        <v>16696.207303333325</v>
      </c>
      <c r="F189" s="116">
        <f t="shared" si="37"/>
        <v>55460</v>
      </c>
      <c r="G189" s="117">
        <v>0</v>
      </c>
      <c r="H189" s="116">
        <f t="shared" si="44"/>
        <v>55460</v>
      </c>
      <c r="I189" s="116">
        <f t="shared" si="38"/>
        <v>55785</v>
      </c>
      <c r="J189" s="119">
        <f t="shared" si="39"/>
        <v>57996</v>
      </c>
      <c r="K189" s="119">
        <f t="shared" si="40"/>
        <v>60598</v>
      </c>
      <c r="L189" s="110"/>
      <c r="M189" s="110"/>
      <c r="N189" s="110"/>
      <c r="O189" s="110"/>
      <c r="P189" s="110"/>
      <c r="Q189" s="110"/>
      <c r="R189" s="110"/>
    </row>
    <row r="190" spans="1:23" x14ac:dyDescent="0.3">
      <c r="A190" s="109">
        <v>166</v>
      </c>
      <c r="B190" s="58">
        <f t="shared" si="41"/>
        <v>3742462</v>
      </c>
      <c r="C190" s="116">
        <f t="shared" si="42"/>
        <v>45989</v>
      </c>
      <c r="D190" s="117">
        <f t="shared" si="43"/>
        <v>9471</v>
      </c>
      <c r="E190" s="116">
        <f t="shared" si="50"/>
        <v>16696.207303333325</v>
      </c>
      <c r="F190" s="116">
        <f t="shared" si="37"/>
        <v>55460</v>
      </c>
      <c r="G190" s="117">
        <v>0</v>
      </c>
      <c r="H190" s="116">
        <f t="shared" si="44"/>
        <v>55460</v>
      </c>
      <c r="I190" s="116">
        <f t="shared" si="38"/>
        <v>55785</v>
      </c>
      <c r="J190" s="119">
        <f t="shared" si="39"/>
        <v>57996</v>
      </c>
      <c r="K190" s="119">
        <f t="shared" si="40"/>
        <v>60598</v>
      </c>
      <c r="L190" s="110"/>
      <c r="M190" s="110"/>
      <c r="N190" s="110"/>
      <c r="O190" s="110"/>
      <c r="P190" s="110"/>
      <c r="Q190" s="110"/>
      <c r="R190" s="110"/>
    </row>
    <row r="191" spans="1:23" x14ac:dyDescent="0.3">
      <c r="A191" s="109">
        <v>167</v>
      </c>
      <c r="B191" s="58">
        <f t="shared" si="41"/>
        <v>3696358</v>
      </c>
      <c r="C191" s="116">
        <f t="shared" si="42"/>
        <v>46104</v>
      </c>
      <c r="D191" s="117">
        <f t="shared" si="43"/>
        <v>9356</v>
      </c>
      <c r="E191" s="116">
        <f t="shared" si="50"/>
        <v>16696.207303333325</v>
      </c>
      <c r="F191" s="116">
        <f t="shared" si="37"/>
        <v>55460</v>
      </c>
      <c r="G191" s="117">
        <v>0</v>
      </c>
      <c r="H191" s="116">
        <f t="shared" si="44"/>
        <v>55460</v>
      </c>
      <c r="I191" s="116">
        <f t="shared" si="38"/>
        <v>55785</v>
      </c>
      <c r="J191" s="119">
        <f t="shared" si="39"/>
        <v>57996</v>
      </c>
      <c r="K191" s="119">
        <f t="shared" si="40"/>
        <v>60598</v>
      </c>
      <c r="L191" s="110"/>
      <c r="M191" s="110"/>
      <c r="N191" s="110"/>
      <c r="O191" s="110"/>
      <c r="P191" s="110"/>
      <c r="Q191" s="110"/>
      <c r="R191" s="110"/>
    </row>
    <row r="192" spans="1:23" x14ac:dyDescent="0.3">
      <c r="A192" s="109">
        <v>168</v>
      </c>
      <c r="B192" s="58">
        <f t="shared" si="41"/>
        <v>3650139</v>
      </c>
      <c r="C192" s="116">
        <f t="shared" si="42"/>
        <v>46219</v>
      </c>
      <c r="D192" s="117">
        <f t="shared" si="43"/>
        <v>9241</v>
      </c>
      <c r="E192" s="116">
        <f t="shared" si="50"/>
        <v>16696.207303333325</v>
      </c>
      <c r="F192" s="116">
        <f t="shared" si="37"/>
        <v>55460</v>
      </c>
      <c r="G192" s="117">
        <v>0</v>
      </c>
      <c r="H192" s="116">
        <f t="shared" si="44"/>
        <v>55460</v>
      </c>
      <c r="I192" s="116">
        <f t="shared" si="38"/>
        <v>55785</v>
      </c>
      <c r="J192" s="119">
        <f t="shared" si="39"/>
        <v>57996</v>
      </c>
      <c r="K192" s="119">
        <f t="shared" si="40"/>
        <v>60598</v>
      </c>
      <c r="L192" s="58">
        <f t="shared" ref="L192:Q192" si="51">SUM(C181:C192)</f>
        <v>547085</v>
      </c>
      <c r="M192" s="58">
        <f t="shared" si="51"/>
        <v>118435</v>
      </c>
      <c r="N192" s="58">
        <f t="shared" si="51"/>
        <v>200354.48763999992</v>
      </c>
      <c r="O192" s="58">
        <f t="shared" si="51"/>
        <v>665520</v>
      </c>
      <c r="P192" s="58">
        <f t="shared" si="51"/>
        <v>0</v>
      </c>
      <c r="Q192" s="58">
        <f t="shared" si="51"/>
        <v>665520</v>
      </c>
      <c r="R192" s="58">
        <f>SUM(J181:J192)</f>
        <v>695952</v>
      </c>
      <c r="S192" s="29">
        <f>SUM(K181:K192)</f>
        <v>727176</v>
      </c>
      <c r="T192" s="29"/>
      <c r="U192" s="29"/>
      <c r="V192" s="29"/>
      <c r="W192" s="29"/>
    </row>
    <row r="193" spans="1:23" x14ac:dyDescent="0.3">
      <c r="A193" s="109">
        <v>169</v>
      </c>
      <c r="B193" s="58">
        <f t="shared" si="41"/>
        <v>3603804</v>
      </c>
      <c r="C193" s="116">
        <f t="shared" si="42"/>
        <v>46335</v>
      </c>
      <c r="D193" s="117">
        <f t="shared" si="43"/>
        <v>9125</v>
      </c>
      <c r="E193" s="116">
        <f t="shared" ref="E193:E204" si="52">IF(A193&gt;$C$3,0,$B$192*($C$5/12))</f>
        <v>14519.948763749995</v>
      </c>
      <c r="F193" s="116">
        <f t="shared" si="37"/>
        <v>55460</v>
      </c>
      <c r="G193" s="117">
        <v>0</v>
      </c>
      <c r="H193" s="116">
        <f t="shared" si="44"/>
        <v>55460</v>
      </c>
      <c r="I193" s="116">
        <f t="shared" si="38"/>
        <v>55785</v>
      </c>
      <c r="J193" s="119">
        <f t="shared" si="39"/>
        <v>57996</v>
      </c>
      <c r="K193" s="119">
        <f t="shared" si="40"/>
        <v>60598</v>
      </c>
      <c r="L193" s="110"/>
      <c r="M193" s="110"/>
      <c r="N193" s="110"/>
      <c r="O193" s="110"/>
      <c r="P193" s="110"/>
      <c r="Q193" s="110"/>
      <c r="R193" s="110"/>
    </row>
    <row r="194" spans="1:23" x14ac:dyDescent="0.3">
      <c r="A194" s="109">
        <v>170</v>
      </c>
      <c r="B194" s="58">
        <f t="shared" si="41"/>
        <v>3557354</v>
      </c>
      <c r="C194" s="116">
        <f t="shared" si="42"/>
        <v>46450</v>
      </c>
      <c r="D194" s="117">
        <f t="shared" si="43"/>
        <v>9010</v>
      </c>
      <c r="E194" s="116">
        <f t="shared" si="52"/>
        <v>14519.948763749995</v>
      </c>
      <c r="F194" s="116">
        <f t="shared" si="37"/>
        <v>55460</v>
      </c>
      <c r="G194" s="117">
        <v>0</v>
      </c>
      <c r="H194" s="116">
        <f t="shared" si="44"/>
        <v>55460</v>
      </c>
      <c r="I194" s="116">
        <f t="shared" si="38"/>
        <v>55785</v>
      </c>
      <c r="J194" s="119">
        <f t="shared" si="39"/>
        <v>57996</v>
      </c>
      <c r="K194" s="119">
        <f t="shared" si="40"/>
        <v>60598</v>
      </c>
      <c r="L194" s="110"/>
      <c r="M194" s="110"/>
      <c r="N194" s="110"/>
      <c r="O194" s="110"/>
      <c r="P194" s="110"/>
      <c r="Q194" s="110"/>
      <c r="R194" s="110"/>
    </row>
    <row r="195" spans="1:23" x14ac:dyDescent="0.3">
      <c r="A195" s="109">
        <v>171</v>
      </c>
      <c r="B195" s="58">
        <f t="shared" si="41"/>
        <v>3510787</v>
      </c>
      <c r="C195" s="116">
        <f t="shared" si="42"/>
        <v>46567</v>
      </c>
      <c r="D195" s="117">
        <f t="shared" si="43"/>
        <v>8893</v>
      </c>
      <c r="E195" s="116">
        <f t="shared" si="52"/>
        <v>14519.948763749995</v>
      </c>
      <c r="F195" s="116">
        <f t="shared" si="37"/>
        <v>55460</v>
      </c>
      <c r="G195" s="117">
        <v>0</v>
      </c>
      <c r="H195" s="116">
        <f t="shared" si="44"/>
        <v>55460</v>
      </c>
      <c r="I195" s="116">
        <f t="shared" si="38"/>
        <v>55785</v>
      </c>
      <c r="J195" s="119">
        <f t="shared" si="39"/>
        <v>57996</v>
      </c>
      <c r="K195" s="119">
        <f t="shared" si="40"/>
        <v>60598</v>
      </c>
      <c r="L195" s="110"/>
      <c r="M195" s="110"/>
      <c r="N195" s="110"/>
      <c r="O195" s="110"/>
      <c r="P195" s="110"/>
      <c r="Q195" s="110"/>
      <c r="R195" s="110"/>
    </row>
    <row r="196" spans="1:23" x14ac:dyDescent="0.3">
      <c r="A196" s="109">
        <v>172</v>
      </c>
      <c r="B196" s="58">
        <f t="shared" si="41"/>
        <v>3464104</v>
      </c>
      <c r="C196" s="116">
        <f t="shared" si="42"/>
        <v>46683</v>
      </c>
      <c r="D196" s="117">
        <f t="shared" si="43"/>
        <v>8777</v>
      </c>
      <c r="E196" s="116">
        <f t="shared" si="52"/>
        <v>14519.948763749995</v>
      </c>
      <c r="F196" s="116">
        <f t="shared" si="37"/>
        <v>55460</v>
      </c>
      <c r="G196" s="117">
        <v>0</v>
      </c>
      <c r="H196" s="116">
        <f t="shared" si="44"/>
        <v>55460</v>
      </c>
      <c r="I196" s="116">
        <f t="shared" si="38"/>
        <v>55785</v>
      </c>
      <c r="J196" s="119">
        <f t="shared" si="39"/>
        <v>57996</v>
      </c>
      <c r="K196" s="119">
        <f t="shared" si="40"/>
        <v>60598</v>
      </c>
      <c r="L196" s="110"/>
      <c r="M196" s="110"/>
      <c r="N196" s="110"/>
      <c r="O196" s="110"/>
      <c r="P196" s="110"/>
      <c r="Q196" s="110"/>
      <c r="R196" s="110"/>
    </row>
    <row r="197" spans="1:23" x14ac:dyDescent="0.3">
      <c r="A197" s="109">
        <v>173</v>
      </c>
      <c r="B197" s="58">
        <f t="shared" si="41"/>
        <v>3417304</v>
      </c>
      <c r="C197" s="116">
        <f t="shared" si="42"/>
        <v>46800</v>
      </c>
      <c r="D197" s="117">
        <f t="shared" si="43"/>
        <v>8660</v>
      </c>
      <c r="E197" s="116">
        <f t="shared" si="52"/>
        <v>14519.948763749995</v>
      </c>
      <c r="F197" s="116">
        <f t="shared" si="37"/>
        <v>55460</v>
      </c>
      <c r="G197" s="117">
        <v>0</v>
      </c>
      <c r="H197" s="116">
        <f t="shared" si="44"/>
        <v>55460</v>
      </c>
      <c r="I197" s="116">
        <f t="shared" si="38"/>
        <v>55785</v>
      </c>
      <c r="J197" s="119">
        <f t="shared" si="39"/>
        <v>57996</v>
      </c>
      <c r="K197" s="119">
        <f t="shared" si="40"/>
        <v>60598</v>
      </c>
      <c r="L197" s="110"/>
      <c r="M197" s="110"/>
      <c r="N197" s="110"/>
      <c r="O197" s="110"/>
      <c r="P197" s="110"/>
      <c r="Q197" s="110"/>
      <c r="R197" s="110"/>
    </row>
    <row r="198" spans="1:23" x14ac:dyDescent="0.3">
      <c r="A198" s="109">
        <v>174</v>
      </c>
      <c r="B198" s="58">
        <f t="shared" si="41"/>
        <v>3370387</v>
      </c>
      <c r="C198" s="116">
        <f t="shared" si="42"/>
        <v>46917</v>
      </c>
      <c r="D198" s="117">
        <f t="shared" si="43"/>
        <v>8543</v>
      </c>
      <c r="E198" s="116">
        <f t="shared" si="52"/>
        <v>14519.948763749995</v>
      </c>
      <c r="F198" s="116">
        <f t="shared" si="37"/>
        <v>55460</v>
      </c>
      <c r="G198" s="117">
        <v>0</v>
      </c>
      <c r="H198" s="116">
        <f t="shared" si="44"/>
        <v>55460</v>
      </c>
      <c r="I198" s="116">
        <f t="shared" si="38"/>
        <v>55785</v>
      </c>
      <c r="J198" s="119">
        <f t="shared" si="39"/>
        <v>57996</v>
      </c>
      <c r="K198" s="119">
        <f t="shared" si="40"/>
        <v>60598</v>
      </c>
      <c r="L198" s="110"/>
      <c r="M198" s="110"/>
      <c r="N198" s="110"/>
      <c r="O198" s="110"/>
      <c r="P198" s="110"/>
      <c r="Q198" s="110"/>
      <c r="R198" s="110"/>
    </row>
    <row r="199" spans="1:23" x14ac:dyDescent="0.3">
      <c r="A199" s="109">
        <v>175</v>
      </c>
      <c r="B199" s="58">
        <f t="shared" si="41"/>
        <v>3323353</v>
      </c>
      <c r="C199" s="116">
        <f t="shared" si="42"/>
        <v>47034</v>
      </c>
      <c r="D199" s="117">
        <f t="shared" si="43"/>
        <v>8426</v>
      </c>
      <c r="E199" s="116">
        <f t="shared" si="52"/>
        <v>14519.948763749995</v>
      </c>
      <c r="F199" s="116">
        <f t="shared" si="37"/>
        <v>55460</v>
      </c>
      <c r="G199" s="117">
        <v>0</v>
      </c>
      <c r="H199" s="116">
        <f t="shared" si="44"/>
        <v>55460</v>
      </c>
      <c r="I199" s="116">
        <f t="shared" si="38"/>
        <v>55785</v>
      </c>
      <c r="J199" s="119">
        <f t="shared" si="39"/>
        <v>57996</v>
      </c>
      <c r="K199" s="119">
        <f t="shared" si="40"/>
        <v>60598</v>
      </c>
      <c r="L199" s="110"/>
      <c r="M199" s="110"/>
      <c r="N199" s="110"/>
      <c r="O199" s="110"/>
      <c r="P199" s="110"/>
      <c r="Q199" s="110"/>
      <c r="R199" s="110"/>
    </row>
    <row r="200" spans="1:23" x14ac:dyDescent="0.3">
      <c r="A200" s="109">
        <v>176</v>
      </c>
      <c r="B200" s="58">
        <f t="shared" si="41"/>
        <v>3276201</v>
      </c>
      <c r="C200" s="116">
        <f t="shared" si="42"/>
        <v>47152</v>
      </c>
      <c r="D200" s="117">
        <f t="shared" si="43"/>
        <v>8308</v>
      </c>
      <c r="E200" s="116">
        <f t="shared" si="52"/>
        <v>14519.948763749995</v>
      </c>
      <c r="F200" s="116">
        <f t="shared" si="37"/>
        <v>55460</v>
      </c>
      <c r="G200" s="117">
        <v>0</v>
      </c>
      <c r="H200" s="116">
        <f t="shared" si="44"/>
        <v>55460</v>
      </c>
      <c r="I200" s="116">
        <f t="shared" si="38"/>
        <v>55785</v>
      </c>
      <c r="J200" s="119">
        <f t="shared" si="39"/>
        <v>57996</v>
      </c>
      <c r="K200" s="119">
        <f t="shared" si="40"/>
        <v>60598</v>
      </c>
      <c r="L200" s="110"/>
      <c r="M200" s="110"/>
      <c r="N200" s="110"/>
      <c r="O200" s="110"/>
      <c r="P200" s="110"/>
      <c r="Q200" s="110"/>
      <c r="R200" s="110"/>
    </row>
    <row r="201" spans="1:23" x14ac:dyDescent="0.3">
      <c r="A201" s="109">
        <v>177</v>
      </c>
      <c r="B201" s="58">
        <f t="shared" si="41"/>
        <v>3228932</v>
      </c>
      <c r="C201" s="116">
        <f t="shared" si="42"/>
        <v>47269</v>
      </c>
      <c r="D201" s="117">
        <f t="shared" si="43"/>
        <v>8191</v>
      </c>
      <c r="E201" s="116">
        <f t="shared" si="52"/>
        <v>14519.948763749995</v>
      </c>
      <c r="F201" s="116">
        <f t="shared" si="37"/>
        <v>55460</v>
      </c>
      <c r="G201" s="117">
        <v>0</v>
      </c>
      <c r="H201" s="116">
        <f t="shared" si="44"/>
        <v>55460</v>
      </c>
      <c r="I201" s="116">
        <f t="shared" si="38"/>
        <v>55785</v>
      </c>
      <c r="J201" s="119">
        <f t="shared" si="39"/>
        <v>57996</v>
      </c>
      <c r="K201" s="119">
        <f t="shared" si="40"/>
        <v>60598</v>
      </c>
      <c r="L201" s="110"/>
      <c r="M201" s="110"/>
      <c r="N201" s="110"/>
      <c r="O201" s="110"/>
      <c r="P201" s="110"/>
      <c r="Q201" s="110"/>
      <c r="R201" s="110"/>
    </row>
    <row r="202" spans="1:23" x14ac:dyDescent="0.3">
      <c r="A202" s="109">
        <v>178</v>
      </c>
      <c r="B202" s="58">
        <f t="shared" si="41"/>
        <v>3181544</v>
      </c>
      <c r="C202" s="116">
        <f t="shared" si="42"/>
        <v>47388</v>
      </c>
      <c r="D202" s="117">
        <f t="shared" si="43"/>
        <v>8072</v>
      </c>
      <c r="E202" s="116">
        <f t="shared" si="52"/>
        <v>14519.948763749995</v>
      </c>
      <c r="F202" s="116">
        <f t="shared" si="37"/>
        <v>55460</v>
      </c>
      <c r="G202" s="117">
        <v>0</v>
      </c>
      <c r="H202" s="116">
        <f t="shared" si="44"/>
        <v>55460</v>
      </c>
      <c r="I202" s="116">
        <f t="shared" si="38"/>
        <v>55785</v>
      </c>
      <c r="J202" s="119">
        <f t="shared" si="39"/>
        <v>57996</v>
      </c>
      <c r="K202" s="119">
        <f t="shared" si="40"/>
        <v>60598</v>
      </c>
      <c r="L202" s="110"/>
      <c r="M202" s="110"/>
      <c r="N202" s="110"/>
      <c r="O202" s="110"/>
      <c r="P202" s="110"/>
      <c r="Q202" s="110"/>
      <c r="R202" s="110"/>
    </row>
    <row r="203" spans="1:23" x14ac:dyDescent="0.3">
      <c r="A203" s="109">
        <v>179</v>
      </c>
      <c r="B203" s="58">
        <f t="shared" si="41"/>
        <v>3134038</v>
      </c>
      <c r="C203" s="116">
        <f t="shared" si="42"/>
        <v>47506</v>
      </c>
      <c r="D203" s="117">
        <f t="shared" si="43"/>
        <v>7954</v>
      </c>
      <c r="E203" s="116">
        <f t="shared" si="52"/>
        <v>14519.948763749995</v>
      </c>
      <c r="F203" s="116">
        <f t="shared" si="37"/>
        <v>55460</v>
      </c>
      <c r="G203" s="117">
        <v>0</v>
      </c>
      <c r="H203" s="116">
        <f t="shared" si="44"/>
        <v>55460</v>
      </c>
      <c r="I203" s="116">
        <f t="shared" si="38"/>
        <v>55785</v>
      </c>
      <c r="J203" s="119">
        <f t="shared" si="39"/>
        <v>57996</v>
      </c>
      <c r="K203" s="119">
        <f t="shared" si="40"/>
        <v>60598</v>
      </c>
      <c r="L203" s="110"/>
      <c r="M203" s="110"/>
      <c r="N203" s="110"/>
      <c r="O203" s="110"/>
      <c r="P203" s="110"/>
      <c r="Q203" s="110"/>
      <c r="R203" s="110"/>
    </row>
    <row r="204" spans="1:23" x14ac:dyDescent="0.3">
      <c r="A204" s="109">
        <v>180</v>
      </c>
      <c r="B204" s="58">
        <f t="shared" si="41"/>
        <v>3086413</v>
      </c>
      <c r="C204" s="116">
        <f t="shared" si="42"/>
        <v>47625</v>
      </c>
      <c r="D204" s="117">
        <f t="shared" si="43"/>
        <v>7835</v>
      </c>
      <c r="E204" s="116">
        <f t="shared" si="52"/>
        <v>14519.948763749995</v>
      </c>
      <c r="F204" s="116">
        <f t="shared" si="37"/>
        <v>55460</v>
      </c>
      <c r="G204" s="117">
        <v>0</v>
      </c>
      <c r="H204" s="116">
        <f t="shared" si="44"/>
        <v>55460</v>
      </c>
      <c r="I204" s="116">
        <f t="shared" si="38"/>
        <v>55785</v>
      </c>
      <c r="J204" s="119">
        <f t="shared" si="39"/>
        <v>57996</v>
      </c>
      <c r="K204" s="119">
        <f t="shared" si="40"/>
        <v>60598</v>
      </c>
      <c r="L204" s="58">
        <f t="shared" ref="L204:Q204" si="53">SUM(C193:C204)</f>
        <v>563726</v>
      </c>
      <c r="M204" s="58">
        <f t="shared" si="53"/>
        <v>101794</v>
      </c>
      <c r="N204" s="58">
        <f t="shared" si="53"/>
        <v>174239.38516499996</v>
      </c>
      <c r="O204" s="58">
        <f t="shared" si="53"/>
        <v>665520</v>
      </c>
      <c r="P204" s="58">
        <f t="shared" si="53"/>
        <v>0</v>
      </c>
      <c r="Q204" s="58">
        <f t="shared" si="53"/>
        <v>665520</v>
      </c>
      <c r="R204" s="58">
        <f>SUM(J193:J204)</f>
        <v>695952</v>
      </c>
      <c r="S204" s="29">
        <f>SUM(K193:K204)</f>
        <v>727176</v>
      </c>
      <c r="T204" s="29"/>
      <c r="U204" s="29"/>
      <c r="V204" s="29"/>
      <c r="W204" s="29"/>
    </row>
    <row r="205" spans="1:23" x14ac:dyDescent="0.3">
      <c r="A205" s="109">
        <v>181</v>
      </c>
      <c r="B205" s="58">
        <f t="shared" si="41"/>
        <v>3038669</v>
      </c>
      <c r="C205" s="116">
        <f t="shared" si="42"/>
        <v>47744</v>
      </c>
      <c r="D205" s="117">
        <f t="shared" si="43"/>
        <v>7716</v>
      </c>
      <c r="E205" s="116">
        <f t="shared" ref="E205:E216" si="54">IF(A205&gt;$C$3,0,$B$204*($C$5/12))</f>
        <v>12277.493712916663</v>
      </c>
      <c r="F205" s="116">
        <f t="shared" si="37"/>
        <v>55460</v>
      </c>
      <c r="G205" s="117">
        <v>0</v>
      </c>
      <c r="H205" s="116">
        <f t="shared" si="44"/>
        <v>55460</v>
      </c>
      <c r="I205" s="116">
        <f t="shared" si="38"/>
        <v>55785</v>
      </c>
      <c r="J205" s="119">
        <f t="shared" si="39"/>
        <v>57996</v>
      </c>
      <c r="K205" s="119">
        <f t="shared" si="40"/>
        <v>60598</v>
      </c>
      <c r="L205" s="110"/>
      <c r="M205" s="110"/>
      <c r="N205" s="110"/>
      <c r="O205" s="110"/>
      <c r="P205" s="110"/>
      <c r="Q205" s="110"/>
      <c r="R205" s="110"/>
    </row>
    <row r="206" spans="1:23" x14ac:dyDescent="0.3">
      <c r="A206" s="109">
        <v>182</v>
      </c>
      <c r="B206" s="58">
        <f t="shared" si="41"/>
        <v>2990806</v>
      </c>
      <c r="C206" s="116">
        <f t="shared" si="42"/>
        <v>47863</v>
      </c>
      <c r="D206" s="117">
        <f t="shared" si="43"/>
        <v>7597</v>
      </c>
      <c r="E206" s="116">
        <f t="shared" si="54"/>
        <v>12277.493712916663</v>
      </c>
      <c r="F206" s="116">
        <f t="shared" si="37"/>
        <v>55460</v>
      </c>
      <c r="G206" s="117">
        <v>0</v>
      </c>
      <c r="H206" s="116">
        <f t="shared" si="44"/>
        <v>55460</v>
      </c>
      <c r="I206" s="116">
        <f t="shared" si="38"/>
        <v>55785</v>
      </c>
      <c r="J206" s="119">
        <f t="shared" si="39"/>
        <v>57996</v>
      </c>
      <c r="K206" s="119">
        <f t="shared" si="40"/>
        <v>60598</v>
      </c>
      <c r="L206" s="110"/>
      <c r="M206" s="110"/>
      <c r="N206" s="110"/>
      <c r="O206" s="110"/>
      <c r="P206" s="110"/>
      <c r="Q206" s="110"/>
      <c r="R206" s="110"/>
    </row>
    <row r="207" spans="1:23" x14ac:dyDescent="0.3">
      <c r="A207" s="109">
        <v>183</v>
      </c>
      <c r="B207" s="58">
        <f t="shared" si="41"/>
        <v>2942823</v>
      </c>
      <c r="C207" s="116">
        <f t="shared" si="42"/>
        <v>47983</v>
      </c>
      <c r="D207" s="117">
        <f t="shared" si="43"/>
        <v>7477</v>
      </c>
      <c r="E207" s="116">
        <f t="shared" si="54"/>
        <v>12277.493712916663</v>
      </c>
      <c r="F207" s="116">
        <f t="shared" si="37"/>
        <v>55460</v>
      </c>
      <c r="G207" s="117">
        <v>0</v>
      </c>
      <c r="H207" s="116">
        <f t="shared" si="44"/>
        <v>55460</v>
      </c>
      <c r="I207" s="116">
        <f t="shared" si="38"/>
        <v>55785</v>
      </c>
      <c r="J207" s="119">
        <f t="shared" si="39"/>
        <v>57996</v>
      </c>
      <c r="K207" s="119">
        <f t="shared" si="40"/>
        <v>60598</v>
      </c>
      <c r="L207" s="110"/>
      <c r="M207" s="110"/>
      <c r="N207" s="110"/>
      <c r="O207" s="110"/>
      <c r="P207" s="110"/>
      <c r="Q207" s="110"/>
      <c r="R207" s="110"/>
    </row>
    <row r="208" spans="1:23" x14ac:dyDescent="0.3">
      <c r="A208" s="109">
        <v>184</v>
      </c>
      <c r="B208" s="58">
        <f t="shared" si="41"/>
        <v>2894720</v>
      </c>
      <c r="C208" s="116">
        <f t="shared" si="42"/>
        <v>48103</v>
      </c>
      <c r="D208" s="117">
        <f t="shared" si="43"/>
        <v>7357</v>
      </c>
      <c r="E208" s="116">
        <f t="shared" si="54"/>
        <v>12277.493712916663</v>
      </c>
      <c r="F208" s="116">
        <f t="shared" si="37"/>
        <v>55460</v>
      </c>
      <c r="G208" s="117">
        <v>0</v>
      </c>
      <c r="H208" s="116">
        <f t="shared" si="44"/>
        <v>55460</v>
      </c>
      <c r="I208" s="116">
        <f t="shared" si="38"/>
        <v>55785</v>
      </c>
      <c r="J208" s="119">
        <f t="shared" si="39"/>
        <v>57996</v>
      </c>
      <c r="K208" s="119">
        <f t="shared" si="40"/>
        <v>60598</v>
      </c>
      <c r="L208" s="110"/>
      <c r="M208" s="110"/>
      <c r="N208" s="110"/>
      <c r="O208" s="110"/>
      <c r="P208" s="110"/>
      <c r="Q208" s="110"/>
      <c r="R208" s="110"/>
    </row>
    <row r="209" spans="1:23" x14ac:dyDescent="0.3">
      <c r="A209" s="109">
        <v>185</v>
      </c>
      <c r="B209" s="58">
        <f t="shared" si="41"/>
        <v>2846497</v>
      </c>
      <c r="C209" s="116">
        <f t="shared" si="42"/>
        <v>48223</v>
      </c>
      <c r="D209" s="117">
        <f t="shared" si="43"/>
        <v>7237</v>
      </c>
      <c r="E209" s="116">
        <f t="shared" si="54"/>
        <v>12277.493712916663</v>
      </c>
      <c r="F209" s="116">
        <f t="shared" si="37"/>
        <v>55460</v>
      </c>
      <c r="G209" s="117">
        <v>0</v>
      </c>
      <c r="H209" s="116">
        <f t="shared" si="44"/>
        <v>55460</v>
      </c>
      <c r="I209" s="116">
        <f t="shared" si="38"/>
        <v>55785</v>
      </c>
      <c r="J209" s="119">
        <f t="shared" si="39"/>
        <v>57996</v>
      </c>
      <c r="K209" s="119">
        <f t="shared" si="40"/>
        <v>60598</v>
      </c>
      <c r="L209" s="110"/>
      <c r="M209" s="110"/>
      <c r="N209" s="110"/>
      <c r="O209" s="110"/>
      <c r="P209" s="110"/>
      <c r="Q209" s="110"/>
      <c r="R209" s="110"/>
    </row>
    <row r="210" spans="1:23" x14ac:dyDescent="0.3">
      <c r="A210" s="109">
        <v>186</v>
      </c>
      <c r="B210" s="58">
        <f t="shared" si="41"/>
        <v>2798153</v>
      </c>
      <c r="C210" s="116">
        <f t="shared" si="42"/>
        <v>48344</v>
      </c>
      <c r="D210" s="117">
        <f t="shared" si="43"/>
        <v>7116</v>
      </c>
      <c r="E210" s="116">
        <f t="shared" si="54"/>
        <v>12277.493712916663</v>
      </c>
      <c r="F210" s="116">
        <f t="shared" si="37"/>
        <v>55460</v>
      </c>
      <c r="G210" s="117">
        <v>0</v>
      </c>
      <c r="H210" s="116">
        <f t="shared" si="44"/>
        <v>55460</v>
      </c>
      <c r="I210" s="116">
        <f t="shared" si="38"/>
        <v>55785</v>
      </c>
      <c r="J210" s="119">
        <f t="shared" si="39"/>
        <v>57996</v>
      </c>
      <c r="K210" s="119">
        <f t="shared" si="40"/>
        <v>60598</v>
      </c>
      <c r="L210" s="110"/>
      <c r="M210" s="110"/>
      <c r="N210" s="110"/>
      <c r="O210" s="110"/>
      <c r="P210" s="110"/>
      <c r="Q210" s="110"/>
      <c r="R210" s="110"/>
    </row>
    <row r="211" spans="1:23" x14ac:dyDescent="0.3">
      <c r="A211" s="109">
        <v>187</v>
      </c>
      <c r="B211" s="58">
        <f t="shared" si="41"/>
        <v>2749688</v>
      </c>
      <c r="C211" s="116">
        <f t="shared" si="42"/>
        <v>48465</v>
      </c>
      <c r="D211" s="117">
        <f t="shared" si="43"/>
        <v>6995</v>
      </c>
      <c r="E211" s="116">
        <f t="shared" si="54"/>
        <v>12277.493712916663</v>
      </c>
      <c r="F211" s="116">
        <f t="shared" si="37"/>
        <v>55460</v>
      </c>
      <c r="G211" s="117">
        <v>0</v>
      </c>
      <c r="H211" s="116">
        <f t="shared" si="44"/>
        <v>55460</v>
      </c>
      <c r="I211" s="116">
        <f t="shared" si="38"/>
        <v>55785</v>
      </c>
      <c r="J211" s="119">
        <f t="shared" si="39"/>
        <v>57996</v>
      </c>
      <c r="K211" s="119">
        <f t="shared" si="40"/>
        <v>60598</v>
      </c>
      <c r="L211" s="110"/>
      <c r="M211" s="110"/>
      <c r="N211" s="110"/>
      <c r="O211" s="110"/>
      <c r="P211" s="110"/>
      <c r="Q211" s="110"/>
      <c r="R211" s="110"/>
    </row>
    <row r="212" spans="1:23" x14ac:dyDescent="0.3">
      <c r="A212" s="109">
        <v>188</v>
      </c>
      <c r="B212" s="58">
        <f t="shared" si="41"/>
        <v>2701102</v>
      </c>
      <c r="C212" s="116">
        <f t="shared" si="42"/>
        <v>48586</v>
      </c>
      <c r="D212" s="117">
        <f t="shared" si="43"/>
        <v>6874</v>
      </c>
      <c r="E212" s="116">
        <f t="shared" si="54"/>
        <v>12277.493712916663</v>
      </c>
      <c r="F212" s="116">
        <f t="shared" si="37"/>
        <v>55460</v>
      </c>
      <c r="G212" s="117">
        <v>0</v>
      </c>
      <c r="H212" s="116">
        <f t="shared" si="44"/>
        <v>55460</v>
      </c>
      <c r="I212" s="116">
        <f t="shared" si="38"/>
        <v>55785</v>
      </c>
      <c r="J212" s="119">
        <f t="shared" si="39"/>
        <v>57996</v>
      </c>
      <c r="K212" s="119">
        <f t="shared" si="40"/>
        <v>60598</v>
      </c>
      <c r="L212" s="110"/>
      <c r="M212" s="110"/>
      <c r="N212" s="110"/>
      <c r="O212" s="110"/>
      <c r="P212" s="110"/>
      <c r="Q212" s="110"/>
      <c r="R212" s="110"/>
    </row>
    <row r="213" spans="1:23" x14ac:dyDescent="0.3">
      <c r="A213" s="109">
        <v>189</v>
      </c>
      <c r="B213" s="58">
        <f t="shared" si="41"/>
        <v>2652395</v>
      </c>
      <c r="C213" s="116">
        <f t="shared" si="42"/>
        <v>48707</v>
      </c>
      <c r="D213" s="117">
        <f t="shared" si="43"/>
        <v>6753</v>
      </c>
      <c r="E213" s="116">
        <f t="shared" si="54"/>
        <v>12277.493712916663</v>
      </c>
      <c r="F213" s="116">
        <f t="shared" si="37"/>
        <v>55460</v>
      </c>
      <c r="G213" s="117">
        <v>0</v>
      </c>
      <c r="H213" s="116">
        <f t="shared" si="44"/>
        <v>55460</v>
      </c>
      <c r="I213" s="116">
        <f t="shared" si="38"/>
        <v>55785</v>
      </c>
      <c r="J213" s="119">
        <f t="shared" si="39"/>
        <v>57996</v>
      </c>
      <c r="K213" s="119">
        <f t="shared" si="40"/>
        <v>60598</v>
      </c>
      <c r="L213" s="110"/>
      <c r="M213" s="110"/>
      <c r="N213" s="110"/>
      <c r="O213" s="110"/>
      <c r="P213" s="110"/>
      <c r="Q213" s="110"/>
      <c r="R213" s="110"/>
    </row>
    <row r="214" spans="1:23" x14ac:dyDescent="0.3">
      <c r="A214" s="109">
        <v>190</v>
      </c>
      <c r="B214" s="58">
        <f t="shared" si="41"/>
        <v>2603566</v>
      </c>
      <c r="C214" s="116">
        <f t="shared" si="42"/>
        <v>48829</v>
      </c>
      <c r="D214" s="117">
        <f t="shared" si="43"/>
        <v>6631</v>
      </c>
      <c r="E214" s="116">
        <f t="shared" si="54"/>
        <v>12277.493712916663</v>
      </c>
      <c r="F214" s="116">
        <f t="shared" si="37"/>
        <v>55460</v>
      </c>
      <c r="G214" s="117">
        <v>0</v>
      </c>
      <c r="H214" s="116">
        <f t="shared" si="44"/>
        <v>55460</v>
      </c>
      <c r="I214" s="116">
        <f t="shared" si="38"/>
        <v>55785</v>
      </c>
      <c r="J214" s="119">
        <f t="shared" si="39"/>
        <v>57996</v>
      </c>
      <c r="K214" s="119">
        <f t="shared" si="40"/>
        <v>60598</v>
      </c>
      <c r="L214" s="110"/>
      <c r="M214" s="110"/>
      <c r="N214" s="110"/>
      <c r="O214" s="110"/>
      <c r="P214" s="110"/>
      <c r="Q214" s="110"/>
      <c r="R214" s="110"/>
    </row>
    <row r="215" spans="1:23" x14ac:dyDescent="0.3">
      <c r="A215" s="109">
        <v>191</v>
      </c>
      <c r="B215" s="58">
        <f t="shared" si="41"/>
        <v>2554615</v>
      </c>
      <c r="C215" s="116">
        <f t="shared" si="42"/>
        <v>48951</v>
      </c>
      <c r="D215" s="117">
        <f t="shared" si="43"/>
        <v>6509</v>
      </c>
      <c r="E215" s="116">
        <f t="shared" si="54"/>
        <v>12277.493712916663</v>
      </c>
      <c r="F215" s="116">
        <f t="shared" si="37"/>
        <v>55460</v>
      </c>
      <c r="G215" s="117">
        <v>0</v>
      </c>
      <c r="H215" s="116">
        <f t="shared" si="44"/>
        <v>55460</v>
      </c>
      <c r="I215" s="116">
        <f t="shared" si="38"/>
        <v>55785</v>
      </c>
      <c r="J215" s="119">
        <f t="shared" si="39"/>
        <v>57996</v>
      </c>
      <c r="K215" s="119">
        <f t="shared" si="40"/>
        <v>60598</v>
      </c>
      <c r="L215" s="110"/>
      <c r="M215" s="110"/>
      <c r="N215" s="110"/>
      <c r="O215" s="110"/>
      <c r="P215" s="110"/>
      <c r="Q215" s="110"/>
      <c r="R215" s="110"/>
    </row>
    <row r="216" spans="1:23" x14ac:dyDescent="0.3">
      <c r="A216" s="109">
        <v>192</v>
      </c>
      <c r="B216" s="58">
        <f t="shared" si="41"/>
        <v>2505542</v>
      </c>
      <c r="C216" s="116">
        <f t="shared" si="42"/>
        <v>49073</v>
      </c>
      <c r="D216" s="117">
        <f t="shared" si="43"/>
        <v>6387</v>
      </c>
      <c r="E216" s="116">
        <f t="shared" si="54"/>
        <v>12277.493712916663</v>
      </c>
      <c r="F216" s="116">
        <f t="shared" si="37"/>
        <v>55460</v>
      </c>
      <c r="G216" s="117">
        <v>0</v>
      </c>
      <c r="H216" s="116">
        <f t="shared" si="44"/>
        <v>55460</v>
      </c>
      <c r="I216" s="116">
        <f t="shared" si="38"/>
        <v>55785</v>
      </c>
      <c r="J216" s="119">
        <f t="shared" si="39"/>
        <v>57996</v>
      </c>
      <c r="K216" s="119">
        <f t="shared" si="40"/>
        <v>60598</v>
      </c>
      <c r="L216" s="58">
        <f t="shared" ref="L216:Q216" si="55">SUM(C205:C216)</f>
        <v>580871</v>
      </c>
      <c r="M216" s="58">
        <f t="shared" si="55"/>
        <v>84649</v>
      </c>
      <c r="N216" s="58">
        <f t="shared" si="55"/>
        <v>147329.92455499995</v>
      </c>
      <c r="O216" s="58">
        <f t="shared" si="55"/>
        <v>665520</v>
      </c>
      <c r="P216" s="58">
        <f t="shared" si="55"/>
        <v>0</v>
      </c>
      <c r="Q216" s="58">
        <f t="shared" si="55"/>
        <v>665520</v>
      </c>
      <c r="R216" s="58">
        <f>SUM(J205:J216)</f>
        <v>695952</v>
      </c>
      <c r="S216" s="29">
        <f>SUM(K205:K216)</f>
        <v>727176</v>
      </c>
      <c r="T216" s="29"/>
      <c r="U216" s="29"/>
      <c r="V216" s="29"/>
      <c r="W216" s="29"/>
    </row>
    <row r="217" spans="1:23" x14ac:dyDescent="0.3">
      <c r="A217" s="109">
        <v>193</v>
      </c>
      <c r="B217" s="58">
        <f t="shared" si="41"/>
        <v>2456346</v>
      </c>
      <c r="C217" s="116">
        <f t="shared" si="42"/>
        <v>49196</v>
      </c>
      <c r="D217" s="117">
        <f t="shared" si="43"/>
        <v>6264</v>
      </c>
      <c r="E217" s="116">
        <f t="shared" ref="E217:E228" si="56">IF(A217&gt;$C$3,0,$B$216*($C$5/12))</f>
        <v>9966.8372808333297</v>
      </c>
      <c r="F217" s="116">
        <f t="shared" ref="F217:F280" si="57">ROUND(IF(A217&gt;$G$6,(IF(A217&gt;=$C$3,B216+D217,PMT($C$4/12,$C$3-$G$6,-$B$24))),D217),0)</f>
        <v>55460</v>
      </c>
      <c r="G217" s="117">
        <v>0</v>
      </c>
      <c r="H217" s="116">
        <f t="shared" si="44"/>
        <v>55460</v>
      </c>
      <c r="I217" s="116">
        <f t="shared" ref="I217:I280" si="58">IF(A217&lt;=$C$3,H217+$C$17,0)</f>
        <v>55785</v>
      </c>
      <c r="J217" s="119">
        <f t="shared" ref="J217:J280" si="59">ROUND(IF(A217&gt;$G$6,(IF(A217&gt;=$C$3,B216+D217,PMT($L$12/12,$C$3-$G$6,-$B$24))),D217),0)</f>
        <v>57996</v>
      </c>
      <c r="K217" s="119">
        <f t="shared" ref="K217:K280" si="60">ROUND(IF(A217&gt;$G$6,(IF(A217&gt;=$C$3,B216+D217,PMT($L$13/12,$C$3-$G$6,-$B$24))),D217),0)</f>
        <v>60598</v>
      </c>
      <c r="L217" s="110"/>
      <c r="M217" s="110"/>
      <c r="N217" s="110"/>
      <c r="O217" s="110"/>
      <c r="P217" s="110"/>
      <c r="Q217" s="110"/>
      <c r="R217" s="110"/>
    </row>
    <row r="218" spans="1:23" x14ac:dyDescent="0.3">
      <c r="A218" s="109">
        <v>194</v>
      </c>
      <c r="B218" s="58">
        <f t="shared" ref="B218:B281" si="61">B217-C218</f>
        <v>2407027</v>
      </c>
      <c r="C218" s="116">
        <f t="shared" ref="C218:C281" si="62">+F218-D218</f>
        <v>49319</v>
      </c>
      <c r="D218" s="117">
        <f t="shared" ref="D218:D281" si="63">ROUND(IF(A218&gt;$G$6,B217*$C$4*30/360,0),0)</f>
        <v>6141</v>
      </c>
      <c r="E218" s="116">
        <f t="shared" si="56"/>
        <v>9966.8372808333297</v>
      </c>
      <c r="F218" s="116">
        <f t="shared" si="57"/>
        <v>55460</v>
      </c>
      <c r="G218" s="117">
        <v>0</v>
      </c>
      <c r="H218" s="116">
        <f t="shared" si="44"/>
        <v>55460</v>
      </c>
      <c r="I218" s="116">
        <f t="shared" si="58"/>
        <v>55785</v>
      </c>
      <c r="J218" s="119">
        <f t="shared" si="59"/>
        <v>57996</v>
      </c>
      <c r="K218" s="119">
        <f t="shared" si="60"/>
        <v>60598</v>
      </c>
      <c r="L218" s="110"/>
      <c r="M218" s="110"/>
      <c r="N218" s="110"/>
      <c r="O218" s="110"/>
      <c r="P218" s="110"/>
      <c r="Q218" s="110"/>
      <c r="R218" s="110"/>
    </row>
    <row r="219" spans="1:23" x14ac:dyDescent="0.3">
      <c r="A219" s="109">
        <v>195</v>
      </c>
      <c r="B219" s="58">
        <f t="shared" si="61"/>
        <v>2357585</v>
      </c>
      <c r="C219" s="116">
        <f t="shared" si="62"/>
        <v>49442</v>
      </c>
      <c r="D219" s="117">
        <f t="shared" si="63"/>
        <v>6018</v>
      </c>
      <c r="E219" s="116">
        <f t="shared" si="56"/>
        <v>9966.8372808333297</v>
      </c>
      <c r="F219" s="116">
        <f t="shared" si="57"/>
        <v>55460</v>
      </c>
      <c r="G219" s="117">
        <v>0</v>
      </c>
      <c r="H219" s="116">
        <f t="shared" ref="H219:H282" si="64">F219+G219</f>
        <v>55460</v>
      </c>
      <c r="I219" s="116">
        <f t="shared" si="58"/>
        <v>55785</v>
      </c>
      <c r="J219" s="119">
        <f t="shared" si="59"/>
        <v>57996</v>
      </c>
      <c r="K219" s="119">
        <f t="shared" si="60"/>
        <v>60598</v>
      </c>
      <c r="L219" s="110"/>
      <c r="M219" s="110"/>
      <c r="N219" s="110"/>
      <c r="O219" s="110"/>
      <c r="P219" s="110"/>
      <c r="Q219" s="110"/>
      <c r="R219" s="110"/>
    </row>
    <row r="220" spans="1:23" x14ac:dyDescent="0.3">
      <c r="A220" s="109">
        <v>196</v>
      </c>
      <c r="B220" s="58">
        <f t="shared" si="61"/>
        <v>2308019</v>
      </c>
      <c r="C220" s="116">
        <f t="shared" si="62"/>
        <v>49566</v>
      </c>
      <c r="D220" s="117">
        <f t="shared" si="63"/>
        <v>5894</v>
      </c>
      <c r="E220" s="116">
        <f t="shared" si="56"/>
        <v>9966.8372808333297</v>
      </c>
      <c r="F220" s="116">
        <f t="shared" si="57"/>
        <v>55460</v>
      </c>
      <c r="G220" s="117">
        <v>0</v>
      </c>
      <c r="H220" s="116">
        <f t="shared" si="64"/>
        <v>55460</v>
      </c>
      <c r="I220" s="116">
        <f t="shared" si="58"/>
        <v>55785</v>
      </c>
      <c r="J220" s="119">
        <f t="shared" si="59"/>
        <v>57996</v>
      </c>
      <c r="K220" s="119">
        <f t="shared" si="60"/>
        <v>60598</v>
      </c>
      <c r="L220" s="110"/>
      <c r="M220" s="110"/>
      <c r="N220" s="110"/>
      <c r="O220" s="110"/>
      <c r="P220" s="110"/>
      <c r="Q220" s="110"/>
      <c r="R220" s="110"/>
    </row>
    <row r="221" spans="1:23" x14ac:dyDescent="0.3">
      <c r="A221" s="109">
        <v>197</v>
      </c>
      <c r="B221" s="58">
        <f t="shared" si="61"/>
        <v>2258329</v>
      </c>
      <c r="C221" s="116">
        <f t="shared" si="62"/>
        <v>49690</v>
      </c>
      <c r="D221" s="117">
        <f t="shared" si="63"/>
        <v>5770</v>
      </c>
      <c r="E221" s="116">
        <f t="shared" si="56"/>
        <v>9966.8372808333297</v>
      </c>
      <c r="F221" s="116">
        <f t="shared" si="57"/>
        <v>55460</v>
      </c>
      <c r="G221" s="117">
        <v>0</v>
      </c>
      <c r="H221" s="116">
        <f t="shared" si="64"/>
        <v>55460</v>
      </c>
      <c r="I221" s="116">
        <f t="shared" si="58"/>
        <v>55785</v>
      </c>
      <c r="J221" s="119">
        <f t="shared" si="59"/>
        <v>57996</v>
      </c>
      <c r="K221" s="119">
        <f t="shared" si="60"/>
        <v>60598</v>
      </c>
      <c r="L221" s="110"/>
      <c r="M221" s="110"/>
      <c r="N221" s="110"/>
      <c r="O221" s="110"/>
      <c r="P221" s="110"/>
      <c r="Q221" s="110"/>
      <c r="R221" s="110"/>
    </row>
    <row r="222" spans="1:23" x14ac:dyDescent="0.3">
      <c r="A222" s="109">
        <v>198</v>
      </c>
      <c r="B222" s="58">
        <f t="shared" si="61"/>
        <v>2208515</v>
      </c>
      <c r="C222" s="116">
        <f t="shared" si="62"/>
        <v>49814</v>
      </c>
      <c r="D222" s="117">
        <f t="shared" si="63"/>
        <v>5646</v>
      </c>
      <c r="E222" s="116">
        <f t="shared" si="56"/>
        <v>9966.8372808333297</v>
      </c>
      <c r="F222" s="116">
        <f t="shared" si="57"/>
        <v>55460</v>
      </c>
      <c r="G222" s="117">
        <v>0</v>
      </c>
      <c r="H222" s="116">
        <f t="shared" si="64"/>
        <v>55460</v>
      </c>
      <c r="I222" s="116">
        <f t="shared" si="58"/>
        <v>55785</v>
      </c>
      <c r="J222" s="119">
        <f t="shared" si="59"/>
        <v>57996</v>
      </c>
      <c r="K222" s="119">
        <f t="shared" si="60"/>
        <v>60598</v>
      </c>
      <c r="L222" s="110"/>
      <c r="M222" s="110"/>
      <c r="N222" s="110"/>
      <c r="O222" s="110"/>
      <c r="P222" s="110"/>
      <c r="Q222" s="110"/>
      <c r="R222" s="110"/>
    </row>
    <row r="223" spans="1:23" x14ac:dyDescent="0.3">
      <c r="A223" s="109">
        <v>199</v>
      </c>
      <c r="B223" s="58">
        <f t="shared" si="61"/>
        <v>2158576</v>
      </c>
      <c r="C223" s="116">
        <f t="shared" si="62"/>
        <v>49939</v>
      </c>
      <c r="D223" s="117">
        <f t="shared" si="63"/>
        <v>5521</v>
      </c>
      <c r="E223" s="116">
        <f t="shared" si="56"/>
        <v>9966.8372808333297</v>
      </c>
      <c r="F223" s="116">
        <f t="shared" si="57"/>
        <v>55460</v>
      </c>
      <c r="G223" s="117">
        <v>0</v>
      </c>
      <c r="H223" s="116">
        <f t="shared" si="64"/>
        <v>55460</v>
      </c>
      <c r="I223" s="116">
        <f t="shared" si="58"/>
        <v>55785</v>
      </c>
      <c r="J223" s="119">
        <f t="shared" si="59"/>
        <v>57996</v>
      </c>
      <c r="K223" s="119">
        <f t="shared" si="60"/>
        <v>60598</v>
      </c>
      <c r="L223" s="110"/>
      <c r="M223" s="110"/>
      <c r="N223" s="110"/>
      <c r="O223" s="110"/>
      <c r="P223" s="110"/>
      <c r="Q223" s="110"/>
      <c r="R223" s="110"/>
    </row>
    <row r="224" spans="1:23" x14ac:dyDescent="0.3">
      <c r="A224" s="109">
        <v>200</v>
      </c>
      <c r="B224" s="58">
        <f t="shared" si="61"/>
        <v>2108512</v>
      </c>
      <c r="C224" s="116">
        <f t="shared" si="62"/>
        <v>50064</v>
      </c>
      <c r="D224" s="117">
        <f t="shared" si="63"/>
        <v>5396</v>
      </c>
      <c r="E224" s="116">
        <f t="shared" si="56"/>
        <v>9966.8372808333297</v>
      </c>
      <c r="F224" s="116">
        <f t="shared" si="57"/>
        <v>55460</v>
      </c>
      <c r="G224" s="117">
        <v>0</v>
      </c>
      <c r="H224" s="116">
        <f t="shared" si="64"/>
        <v>55460</v>
      </c>
      <c r="I224" s="116">
        <f t="shared" si="58"/>
        <v>55785</v>
      </c>
      <c r="J224" s="119">
        <f t="shared" si="59"/>
        <v>57996</v>
      </c>
      <c r="K224" s="119">
        <f t="shared" si="60"/>
        <v>60598</v>
      </c>
      <c r="L224" s="110"/>
      <c r="M224" s="110"/>
      <c r="N224" s="110"/>
      <c r="O224" s="110"/>
      <c r="P224" s="110"/>
      <c r="Q224" s="110"/>
      <c r="R224" s="110"/>
    </row>
    <row r="225" spans="1:23" x14ac:dyDescent="0.3">
      <c r="A225" s="109">
        <v>201</v>
      </c>
      <c r="B225" s="58">
        <f t="shared" si="61"/>
        <v>2058323</v>
      </c>
      <c r="C225" s="116">
        <f t="shared" si="62"/>
        <v>50189</v>
      </c>
      <c r="D225" s="117">
        <f t="shared" si="63"/>
        <v>5271</v>
      </c>
      <c r="E225" s="116">
        <f t="shared" si="56"/>
        <v>9966.8372808333297</v>
      </c>
      <c r="F225" s="116">
        <f t="shared" si="57"/>
        <v>55460</v>
      </c>
      <c r="G225" s="117">
        <v>0</v>
      </c>
      <c r="H225" s="116">
        <f t="shared" si="64"/>
        <v>55460</v>
      </c>
      <c r="I225" s="116">
        <f t="shared" si="58"/>
        <v>55785</v>
      </c>
      <c r="J225" s="119">
        <f t="shared" si="59"/>
        <v>57996</v>
      </c>
      <c r="K225" s="119">
        <f t="shared" si="60"/>
        <v>60598</v>
      </c>
      <c r="L225" s="110"/>
      <c r="M225" s="110"/>
      <c r="N225" s="110"/>
      <c r="O225" s="110"/>
      <c r="P225" s="110"/>
      <c r="Q225" s="110"/>
      <c r="R225" s="110"/>
    </row>
    <row r="226" spans="1:23" x14ac:dyDescent="0.3">
      <c r="A226" s="109">
        <v>202</v>
      </c>
      <c r="B226" s="58">
        <f t="shared" si="61"/>
        <v>2008009</v>
      </c>
      <c r="C226" s="116">
        <f t="shared" si="62"/>
        <v>50314</v>
      </c>
      <c r="D226" s="117">
        <f t="shared" si="63"/>
        <v>5146</v>
      </c>
      <c r="E226" s="116">
        <f t="shared" si="56"/>
        <v>9966.8372808333297</v>
      </c>
      <c r="F226" s="116">
        <f t="shared" si="57"/>
        <v>55460</v>
      </c>
      <c r="G226" s="117">
        <v>0</v>
      </c>
      <c r="H226" s="116">
        <f t="shared" si="64"/>
        <v>55460</v>
      </c>
      <c r="I226" s="116">
        <f t="shared" si="58"/>
        <v>55785</v>
      </c>
      <c r="J226" s="119">
        <f t="shared" si="59"/>
        <v>57996</v>
      </c>
      <c r="K226" s="119">
        <f t="shared" si="60"/>
        <v>60598</v>
      </c>
      <c r="L226" s="110"/>
      <c r="M226" s="110"/>
      <c r="N226" s="110"/>
      <c r="O226" s="110"/>
      <c r="P226" s="110"/>
      <c r="Q226" s="110"/>
      <c r="R226" s="110"/>
    </row>
    <row r="227" spans="1:23" x14ac:dyDescent="0.3">
      <c r="A227" s="109">
        <v>203</v>
      </c>
      <c r="B227" s="58">
        <f t="shared" si="61"/>
        <v>1957569</v>
      </c>
      <c r="C227" s="116">
        <f t="shared" si="62"/>
        <v>50440</v>
      </c>
      <c r="D227" s="117">
        <f t="shared" si="63"/>
        <v>5020</v>
      </c>
      <c r="E227" s="116">
        <f t="shared" si="56"/>
        <v>9966.8372808333297</v>
      </c>
      <c r="F227" s="116">
        <f t="shared" si="57"/>
        <v>55460</v>
      </c>
      <c r="G227" s="117">
        <v>0</v>
      </c>
      <c r="H227" s="116">
        <f t="shared" si="64"/>
        <v>55460</v>
      </c>
      <c r="I227" s="116">
        <f t="shared" si="58"/>
        <v>55785</v>
      </c>
      <c r="J227" s="119">
        <f t="shared" si="59"/>
        <v>57996</v>
      </c>
      <c r="K227" s="119">
        <f t="shared" si="60"/>
        <v>60598</v>
      </c>
      <c r="L227" s="110"/>
      <c r="M227" s="110"/>
      <c r="N227" s="110"/>
      <c r="O227" s="110"/>
      <c r="P227" s="110"/>
      <c r="Q227" s="110"/>
      <c r="R227" s="110"/>
    </row>
    <row r="228" spans="1:23" x14ac:dyDescent="0.3">
      <c r="A228" s="109">
        <v>204</v>
      </c>
      <c r="B228" s="58">
        <f t="shared" si="61"/>
        <v>1907003</v>
      </c>
      <c r="C228" s="116">
        <f t="shared" si="62"/>
        <v>50566</v>
      </c>
      <c r="D228" s="117">
        <f t="shared" si="63"/>
        <v>4894</v>
      </c>
      <c r="E228" s="116">
        <f t="shared" si="56"/>
        <v>9966.8372808333297</v>
      </c>
      <c r="F228" s="116">
        <f t="shared" si="57"/>
        <v>55460</v>
      </c>
      <c r="G228" s="117">
        <v>0</v>
      </c>
      <c r="H228" s="116">
        <f t="shared" si="64"/>
        <v>55460</v>
      </c>
      <c r="I228" s="116">
        <f t="shared" si="58"/>
        <v>55785</v>
      </c>
      <c r="J228" s="119">
        <f t="shared" si="59"/>
        <v>57996</v>
      </c>
      <c r="K228" s="119">
        <f t="shared" si="60"/>
        <v>60598</v>
      </c>
      <c r="L228" s="58">
        <f t="shared" ref="L228:Q228" si="65">SUM(C217:C228)</f>
        <v>598539</v>
      </c>
      <c r="M228" s="58">
        <f t="shared" si="65"/>
        <v>66981</v>
      </c>
      <c r="N228" s="58">
        <f t="shared" si="65"/>
        <v>119602.04736999999</v>
      </c>
      <c r="O228" s="58">
        <f t="shared" si="65"/>
        <v>665520</v>
      </c>
      <c r="P228" s="58">
        <f t="shared" si="65"/>
        <v>0</v>
      </c>
      <c r="Q228" s="58">
        <f t="shared" si="65"/>
        <v>665520</v>
      </c>
      <c r="R228" s="58">
        <f>SUM(J217:J228)</f>
        <v>695952</v>
      </c>
      <c r="S228" s="29">
        <f>SUM(K217:K228)</f>
        <v>727176</v>
      </c>
      <c r="T228" s="29"/>
      <c r="U228" s="29"/>
      <c r="V228" s="29"/>
      <c r="W228" s="29"/>
    </row>
    <row r="229" spans="1:23" x14ac:dyDescent="0.3">
      <c r="A229" s="109">
        <v>205</v>
      </c>
      <c r="B229" s="58">
        <f t="shared" si="61"/>
        <v>1856311</v>
      </c>
      <c r="C229" s="116">
        <f t="shared" si="62"/>
        <v>50692</v>
      </c>
      <c r="D229" s="117">
        <f t="shared" si="63"/>
        <v>4768</v>
      </c>
      <c r="E229" s="116">
        <f t="shared" ref="E229:E240" si="66">IF(A229&gt;$C$3,0,$B$228*($C$5/12))</f>
        <v>7585.8990170833304</v>
      </c>
      <c r="F229" s="116">
        <f t="shared" si="57"/>
        <v>55460</v>
      </c>
      <c r="G229" s="117">
        <v>0</v>
      </c>
      <c r="H229" s="116">
        <f t="shared" si="64"/>
        <v>55460</v>
      </c>
      <c r="I229" s="116">
        <f t="shared" si="58"/>
        <v>55785</v>
      </c>
      <c r="J229" s="119">
        <f t="shared" si="59"/>
        <v>57996</v>
      </c>
      <c r="K229" s="119">
        <f t="shared" si="60"/>
        <v>60598</v>
      </c>
      <c r="L229" s="110"/>
      <c r="M229" s="110"/>
      <c r="N229" s="110"/>
      <c r="O229" s="110"/>
      <c r="P229" s="110"/>
      <c r="Q229" s="110"/>
      <c r="R229" s="110"/>
    </row>
    <row r="230" spans="1:23" x14ac:dyDescent="0.3">
      <c r="A230" s="109">
        <v>206</v>
      </c>
      <c r="B230" s="58">
        <f t="shared" si="61"/>
        <v>1805492</v>
      </c>
      <c r="C230" s="116">
        <f t="shared" si="62"/>
        <v>50819</v>
      </c>
      <c r="D230" s="117">
        <f t="shared" si="63"/>
        <v>4641</v>
      </c>
      <c r="E230" s="116">
        <f t="shared" si="66"/>
        <v>7585.8990170833304</v>
      </c>
      <c r="F230" s="116">
        <f t="shared" si="57"/>
        <v>55460</v>
      </c>
      <c r="G230" s="117">
        <v>0</v>
      </c>
      <c r="H230" s="116">
        <f t="shared" si="64"/>
        <v>55460</v>
      </c>
      <c r="I230" s="116">
        <f t="shared" si="58"/>
        <v>55785</v>
      </c>
      <c r="J230" s="119">
        <f t="shared" si="59"/>
        <v>57996</v>
      </c>
      <c r="K230" s="119">
        <f t="shared" si="60"/>
        <v>60598</v>
      </c>
      <c r="L230" s="110"/>
      <c r="M230" s="110"/>
      <c r="N230" s="110"/>
      <c r="O230" s="110"/>
      <c r="P230" s="110"/>
      <c r="Q230" s="110"/>
      <c r="R230" s="110"/>
    </row>
    <row r="231" spans="1:23" x14ac:dyDescent="0.3">
      <c r="A231" s="109">
        <v>207</v>
      </c>
      <c r="B231" s="58">
        <f t="shared" si="61"/>
        <v>1754546</v>
      </c>
      <c r="C231" s="116">
        <f t="shared" si="62"/>
        <v>50946</v>
      </c>
      <c r="D231" s="117">
        <f t="shared" si="63"/>
        <v>4514</v>
      </c>
      <c r="E231" s="116">
        <f t="shared" si="66"/>
        <v>7585.8990170833304</v>
      </c>
      <c r="F231" s="116">
        <f t="shared" si="57"/>
        <v>55460</v>
      </c>
      <c r="G231" s="117">
        <v>0</v>
      </c>
      <c r="H231" s="116">
        <f t="shared" si="64"/>
        <v>55460</v>
      </c>
      <c r="I231" s="116">
        <f t="shared" si="58"/>
        <v>55785</v>
      </c>
      <c r="J231" s="119">
        <f t="shared" si="59"/>
        <v>57996</v>
      </c>
      <c r="K231" s="119">
        <f t="shared" si="60"/>
        <v>60598</v>
      </c>
      <c r="L231" s="110"/>
      <c r="M231" s="110"/>
      <c r="N231" s="110"/>
      <c r="O231" s="110"/>
      <c r="P231" s="110"/>
      <c r="Q231" s="110"/>
      <c r="R231" s="110"/>
    </row>
    <row r="232" spans="1:23" x14ac:dyDescent="0.3">
      <c r="A232" s="109">
        <v>208</v>
      </c>
      <c r="B232" s="58">
        <f t="shared" si="61"/>
        <v>1703472</v>
      </c>
      <c r="C232" s="116">
        <f t="shared" si="62"/>
        <v>51074</v>
      </c>
      <c r="D232" s="117">
        <f t="shared" si="63"/>
        <v>4386</v>
      </c>
      <c r="E232" s="116">
        <f t="shared" si="66"/>
        <v>7585.8990170833304</v>
      </c>
      <c r="F232" s="116">
        <f t="shared" si="57"/>
        <v>55460</v>
      </c>
      <c r="G232" s="117">
        <v>0</v>
      </c>
      <c r="H232" s="116">
        <f t="shared" si="64"/>
        <v>55460</v>
      </c>
      <c r="I232" s="116">
        <f t="shared" si="58"/>
        <v>55785</v>
      </c>
      <c r="J232" s="119">
        <f t="shared" si="59"/>
        <v>57996</v>
      </c>
      <c r="K232" s="119">
        <f t="shared" si="60"/>
        <v>60598</v>
      </c>
      <c r="L232" s="110"/>
      <c r="M232" s="110"/>
      <c r="N232" s="110"/>
      <c r="O232" s="110"/>
      <c r="P232" s="110"/>
      <c r="Q232" s="110"/>
      <c r="R232" s="110"/>
    </row>
    <row r="233" spans="1:23" x14ac:dyDescent="0.3">
      <c r="A233" s="109">
        <v>209</v>
      </c>
      <c r="B233" s="58">
        <f t="shared" si="61"/>
        <v>1652271</v>
      </c>
      <c r="C233" s="116">
        <f t="shared" si="62"/>
        <v>51201</v>
      </c>
      <c r="D233" s="117">
        <f t="shared" si="63"/>
        <v>4259</v>
      </c>
      <c r="E233" s="116">
        <f t="shared" si="66"/>
        <v>7585.8990170833304</v>
      </c>
      <c r="F233" s="116">
        <f t="shared" si="57"/>
        <v>55460</v>
      </c>
      <c r="G233" s="117">
        <v>0</v>
      </c>
      <c r="H233" s="116">
        <f t="shared" si="64"/>
        <v>55460</v>
      </c>
      <c r="I233" s="116">
        <f t="shared" si="58"/>
        <v>55785</v>
      </c>
      <c r="J233" s="119">
        <f t="shared" si="59"/>
        <v>57996</v>
      </c>
      <c r="K233" s="119">
        <f t="shared" si="60"/>
        <v>60598</v>
      </c>
      <c r="L233" s="110"/>
      <c r="M233" s="110"/>
      <c r="N233" s="110"/>
      <c r="O233" s="110"/>
      <c r="P233" s="110"/>
      <c r="Q233" s="110"/>
      <c r="R233" s="110"/>
    </row>
    <row r="234" spans="1:23" x14ac:dyDescent="0.3">
      <c r="A234" s="109">
        <v>210</v>
      </c>
      <c r="B234" s="58">
        <f t="shared" si="61"/>
        <v>1600942</v>
      </c>
      <c r="C234" s="116">
        <f t="shared" si="62"/>
        <v>51329</v>
      </c>
      <c r="D234" s="117">
        <f t="shared" si="63"/>
        <v>4131</v>
      </c>
      <c r="E234" s="116">
        <f t="shared" si="66"/>
        <v>7585.8990170833304</v>
      </c>
      <c r="F234" s="116">
        <f t="shared" si="57"/>
        <v>55460</v>
      </c>
      <c r="G234" s="117">
        <v>0</v>
      </c>
      <c r="H234" s="116">
        <f t="shared" si="64"/>
        <v>55460</v>
      </c>
      <c r="I234" s="116">
        <f t="shared" si="58"/>
        <v>55785</v>
      </c>
      <c r="J234" s="119">
        <f t="shared" si="59"/>
        <v>57996</v>
      </c>
      <c r="K234" s="119">
        <f t="shared" si="60"/>
        <v>60598</v>
      </c>
      <c r="L234" s="110"/>
      <c r="M234" s="110"/>
      <c r="N234" s="110"/>
      <c r="O234" s="110"/>
      <c r="P234" s="110"/>
      <c r="Q234" s="110"/>
      <c r="R234" s="110"/>
    </row>
    <row r="235" spans="1:23" x14ac:dyDescent="0.3">
      <c r="A235" s="109">
        <v>211</v>
      </c>
      <c r="B235" s="58">
        <f t="shared" si="61"/>
        <v>1549484</v>
      </c>
      <c r="C235" s="116">
        <f t="shared" si="62"/>
        <v>51458</v>
      </c>
      <c r="D235" s="117">
        <f t="shared" si="63"/>
        <v>4002</v>
      </c>
      <c r="E235" s="116">
        <f t="shared" si="66"/>
        <v>7585.8990170833304</v>
      </c>
      <c r="F235" s="116">
        <f t="shared" si="57"/>
        <v>55460</v>
      </c>
      <c r="G235" s="117">
        <v>0</v>
      </c>
      <c r="H235" s="116">
        <f t="shared" si="64"/>
        <v>55460</v>
      </c>
      <c r="I235" s="116">
        <f t="shared" si="58"/>
        <v>55785</v>
      </c>
      <c r="J235" s="119">
        <f t="shared" si="59"/>
        <v>57996</v>
      </c>
      <c r="K235" s="119">
        <f t="shared" si="60"/>
        <v>60598</v>
      </c>
      <c r="L235" s="110"/>
      <c r="M235" s="110"/>
      <c r="N235" s="110"/>
      <c r="O235" s="110"/>
      <c r="P235" s="110"/>
      <c r="Q235" s="110"/>
      <c r="R235" s="110"/>
    </row>
    <row r="236" spans="1:23" x14ac:dyDescent="0.3">
      <c r="A236" s="109">
        <v>212</v>
      </c>
      <c r="B236" s="58">
        <f t="shared" si="61"/>
        <v>1497898</v>
      </c>
      <c r="C236" s="116">
        <f t="shared" si="62"/>
        <v>51586</v>
      </c>
      <c r="D236" s="117">
        <f t="shared" si="63"/>
        <v>3874</v>
      </c>
      <c r="E236" s="116">
        <f t="shared" si="66"/>
        <v>7585.8990170833304</v>
      </c>
      <c r="F236" s="116">
        <f t="shared" si="57"/>
        <v>55460</v>
      </c>
      <c r="G236" s="117">
        <v>0</v>
      </c>
      <c r="H236" s="116">
        <f t="shared" si="64"/>
        <v>55460</v>
      </c>
      <c r="I236" s="116">
        <f t="shared" si="58"/>
        <v>55785</v>
      </c>
      <c r="J236" s="119">
        <f t="shared" si="59"/>
        <v>57996</v>
      </c>
      <c r="K236" s="119">
        <f t="shared" si="60"/>
        <v>60598</v>
      </c>
      <c r="L236" s="110"/>
      <c r="M236" s="110"/>
      <c r="N236" s="110"/>
      <c r="O236" s="110"/>
      <c r="P236" s="110"/>
      <c r="Q236" s="110"/>
      <c r="R236" s="110"/>
    </row>
    <row r="237" spans="1:23" x14ac:dyDescent="0.3">
      <c r="A237" s="109">
        <v>213</v>
      </c>
      <c r="B237" s="58">
        <f t="shared" si="61"/>
        <v>1446183</v>
      </c>
      <c r="C237" s="116">
        <f t="shared" si="62"/>
        <v>51715</v>
      </c>
      <c r="D237" s="117">
        <f t="shared" si="63"/>
        <v>3745</v>
      </c>
      <c r="E237" s="116">
        <f t="shared" si="66"/>
        <v>7585.8990170833304</v>
      </c>
      <c r="F237" s="116">
        <f t="shared" si="57"/>
        <v>55460</v>
      </c>
      <c r="G237" s="117">
        <v>0</v>
      </c>
      <c r="H237" s="116">
        <f t="shared" si="64"/>
        <v>55460</v>
      </c>
      <c r="I237" s="116">
        <f t="shared" si="58"/>
        <v>55785</v>
      </c>
      <c r="J237" s="119">
        <f t="shared" si="59"/>
        <v>57996</v>
      </c>
      <c r="K237" s="119">
        <f t="shared" si="60"/>
        <v>60598</v>
      </c>
      <c r="L237" s="110"/>
      <c r="M237" s="110"/>
      <c r="N237" s="110"/>
      <c r="O237" s="110"/>
      <c r="P237" s="110"/>
      <c r="Q237" s="110"/>
      <c r="R237" s="110"/>
    </row>
    <row r="238" spans="1:23" x14ac:dyDescent="0.3">
      <c r="A238" s="109">
        <v>214</v>
      </c>
      <c r="B238" s="58">
        <f t="shared" si="61"/>
        <v>1394338</v>
      </c>
      <c r="C238" s="116">
        <f t="shared" si="62"/>
        <v>51845</v>
      </c>
      <c r="D238" s="117">
        <f t="shared" si="63"/>
        <v>3615</v>
      </c>
      <c r="E238" s="116">
        <f t="shared" si="66"/>
        <v>7585.8990170833304</v>
      </c>
      <c r="F238" s="116">
        <f t="shared" si="57"/>
        <v>55460</v>
      </c>
      <c r="G238" s="117">
        <v>0</v>
      </c>
      <c r="H238" s="116">
        <f t="shared" si="64"/>
        <v>55460</v>
      </c>
      <c r="I238" s="116">
        <f t="shared" si="58"/>
        <v>55785</v>
      </c>
      <c r="J238" s="119">
        <f t="shared" si="59"/>
        <v>57996</v>
      </c>
      <c r="K238" s="119">
        <f t="shared" si="60"/>
        <v>60598</v>
      </c>
      <c r="L238" s="110"/>
      <c r="M238" s="110"/>
      <c r="N238" s="110"/>
      <c r="O238" s="110"/>
      <c r="P238" s="110"/>
      <c r="Q238" s="110"/>
      <c r="R238" s="110"/>
    </row>
    <row r="239" spans="1:23" x14ac:dyDescent="0.3">
      <c r="A239" s="109">
        <v>215</v>
      </c>
      <c r="B239" s="58">
        <f t="shared" si="61"/>
        <v>1342364</v>
      </c>
      <c r="C239" s="116">
        <f t="shared" si="62"/>
        <v>51974</v>
      </c>
      <c r="D239" s="117">
        <f t="shared" si="63"/>
        <v>3486</v>
      </c>
      <c r="E239" s="116">
        <f t="shared" si="66"/>
        <v>7585.8990170833304</v>
      </c>
      <c r="F239" s="116">
        <f t="shared" si="57"/>
        <v>55460</v>
      </c>
      <c r="G239" s="117">
        <v>0</v>
      </c>
      <c r="H239" s="116">
        <f t="shared" si="64"/>
        <v>55460</v>
      </c>
      <c r="I239" s="116">
        <f t="shared" si="58"/>
        <v>55785</v>
      </c>
      <c r="J239" s="119">
        <f t="shared" si="59"/>
        <v>57996</v>
      </c>
      <c r="K239" s="119">
        <f t="shared" si="60"/>
        <v>60598</v>
      </c>
      <c r="L239" s="110"/>
      <c r="M239" s="110"/>
      <c r="N239" s="110"/>
      <c r="O239" s="110"/>
      <c r="P239" s="110"/>
      <c r="Q239" s="110"/>
      <c r="R239" s="110"/>
    </row>
    <row r="240" spans="1:23" x14ac:dyDescent="0.3">
      <c r="A240" s="109">
        <v>216</v>
      </c>
      <c r="B240" s="58">
        <f t="shared" si="61"/>
        <v>1290260</v>
      </c>
      <c r="C240" s="116">
        <f t="shared" si="62"/>
        <v>52104</v>
      </c>
      <c r="D240" s="117">
        <f t="shared" si="63"/>
        <v>3356</v>
      </c>
      <c r="E240" s="116">
        <f t="shared" si="66"/>
        <v>7585.8990170833304</v>
      </c>
      <c r="F240" s="116">
        <f t="shared" si="57"/>
        <v>55460</v>
      </c>
      <c r="G240" s="117">
        <v>0</v>
      </c>
      <c r="H240" s="116">
        <f t="shared" si="64"/>
        <v>55460</v>
      </c>
      <c r="I240" s="116">
        <f t="shared" si="58"/>
        <v>55785</v>
      </c>
      <c r="J240" s="119">
        <f t="shared" si="59"/>
        <v>57996</v>
      </c>
      <c r="K240" s="119">
        <f t="shared" si="60"/>
        <v>60598</v>
      </c>
      <c r="L240" s="58">
        <f t="shared" ref="L240:Q240" si="67">SUM(C229:C240)</f>
        <v>616743</v>
      </c>
      <c r="M240" s="58">
        <f t="shared" si="67"/>
        <v>48777</v>
      </c>
      <c r="N240" s="58">
        <f t="shared" si="67"/>
        <v>91030.788204999946</v>
      </c>
      <c r="O240" s="58">
        <f t="shared" si="67"/>
        <v>665520</v>
      </c>
      <c r="P240" s="58">
        <f t="shared" si="67"/>
        <v>0</v>
      </c>
      <c r="Q240" s="58">
        <f t="shared" si="67"/>
        <v>665520</v>
      </c>
      <c r="R240" s="58">
        <f>SUM(J229:J240)</f>
        <v>695952</v>
      </c>
      <c r="S240" s="29">
        <f>SUM(K229:K240)</f>
        <v>727176</v>
      </c>
      <c r="T240" s="29"/>
      <c r="U240" s="29"/>
      <c r="V240" s="29"/>
      <c r="W240" s="29"/>
    </row>
    <row r="241" spans="1:23" x14ac:dyDescent="0.3">
      <c r="A241" s="109">
        <v>217</v>
      </c>
      <c r="B241" s="58">
        <f t="shared" si="61"/>
        <v>1238026</v>
      </c>
      <c r="C241" s="116">
        <f t="shared" si="62"/>
        <v>52234</v>
      </c>
      <c r="D241" s="117">
        <f t="shared" si="63"/>
        <v>3226</v>
      </c>
      <c r="E241" s="116">
        <f t="shared" ref="E241:E252" si="68">IF(A241&gt;$C$3,0,$B$240*($C$5/12))</f>
        <v>5132.5467583333311</v>
      </c>
      <c r="F241" s="116">
        <f t="shared" si="57"/>
        <v>55460</v>
      </c>
      <c r="G241" s="117">
        <v>0</v>
      </c>
      <c r="H241" s="116">
        <f t="shared" si="64"/>
        <v>55460</v>
      </c>
      <c r="I241" s="116">
        <f t="shared" si="58"/>
        <v>55785</v>
      </c>
      <c r="J241" s="119">
        <f t="shared" si="59"/>
        <v>57996</v>
      </c>
      <c r="K241" s="119">
        <f t="shared" si="60"/>
        <v>60598</v>
      </c>
      <c r="L241" s="110"/>
      <c r="M241" s="110"/>
      <c r="N241" s="110"/>
      <c r="O241" s="110"/>
      <c r="P241" s="110"/>
      <c r="Q241" s="110"/>
      <c r="R241" s="110"/>
    </row>
    <row r="242" spans="1:23" x14ac:dyDescent="0.3">
      <c r="A242" s="109">
        <v>218</v>
      </c>
      <c r="B242" s="58">
        <f t="shared" si="61"/>
        <v>1185661</v>
      </c>
      <c r="C242" s="116">
        <f t="shared" si="62"/>
        <v>52365</v>
      </c>
      <c r="D242" s="117">
        <f t="shared" si="63"/>
        <v>3095</v>
      </c>
      <c r="E242" s="116">
        <f t="shared" si="68"/>
        <v>5132.5467583333311</v>
      </c>
      <c r="F242" s="116">
        <f t="shared" si="57"/>
        <v>55460</v>
      </c>
      <c r="G242" s="117">
        <v>0</v>
      </c>
      <c r="H242" s="116">
        <f t="shared" si="64"/>
        <v>55460</v>
      </c>
      <c r="I242" s="116">
        <f t="shared" si="58"/>
        <v>55785</v>
      </c>
      <c r="J242" s="119">
        <f t="shared" si="59"/>
        <v>57996</v>
      </c>
      <c r="K242" s="119">
        <f t="shared" si="60"/>
        <v>60598</v>
      </c>
      <c r="L242" s="110"/>
      <c r="M242" s="110"/>
      <c r="N242" s="110"/>
      <c r="O242" s="110"/>
      <c r="P242" s="110"/>
      <c r="Q242" s="110"/>
      <c r="R242" s="110"/>
    </row>
    <row r="243" spans="1:23" x14ac:dyDescent="0.3">
      <c r="A243" s="109">
        <v>219</v>
      </c>
      <c r="B243" s="58">
        <f t="shared" si="61"/>
        <v>1133165</v>
      </c>
      <c r="C243" s="116">
        <f t="shared" si="62"/>
        <v>52496</v>
      </c>
      <c r="D243" s="117">
        <f t="shared" si="63"/>
        <v>2964</v>
      </c>
      <c r="E243" s="116">
        <f t="shared" si="68"/>
        <v>5132.5467583333311</v>
      </c>
      <c r="F243" s="116">
        <f t="shared" si="57"/>
        <v>55460</v>
      </c>
      <c r="G243" s="117">
        <v>0</v>
      </c>
      <c r="H243" s="116">
        <f t="shared" si="64"/>
        <v>55460</v>
      </c>
      <c r="I243" s="116">
        <f t="shared" si="58"/>
        <v>55785</v>
      </c>
      <c r="J243" s="119">
        <f t="shared" si="59"/>
        <v>57996</v>
      </c>
      <c r="K243" s="119">
        <f t="shared" si="60"/>
        <v>60598</v>
      </c>
      <c r="L243" s="110"/>
      <c r="M243" s="110"/>
      <c r="N243" s="110"/>
      <c r="O243" s="110"/>
      <c r="P243" s="110"/>
      <c r="Q243" s="110"/>
      <c r="R243" s="110"/>
    </row>
    <row r="244" spans="1:23" x14ac:dyDescent="0.3">
      <c r="A244" s="109">
        <v>220</v>
      </c>
      <c r="B244" s="58">
        <f t="shared" si="61"/>
        <v>1080538</v>
      </c>
      <c r="C244" s="116">
        <f t="shared" si="62"/>
        <v>52627</v>
      </c>
      <c r="D244" s="117">
        <f t="shared" si="63"/>
        <v>2833</v>
      </c>
      <c r="E244" s="116">
        <f t="shared" si="68"/>
        <v>5132.5467583333311</v>
      </c>
      <c r="F244" s="116">
        <f t="shared" si="57"/>
        <v>55460</v>
      </c>
      <c r="G244" s="117">
        <v>0</v>
      </c>
      <c r="H244" s="116">
        <f t="shared" si="64"/>
        <v>55460</v>
      </c>
      <c r="I244" s="116">
        <f t="shared" si="58"/>
        <v>55785</v>
      </c>
      <c r="J244" s="119">
        <f t="shared" si="59"/>
        <v>57996</v>
      </c>
      <c r="K244" s="119">
        <f t="shared" si="60"/>
        <v>60598</v>
      </c>
      <c r="L244" s="110"/>
      <c r="M244" s="110"/>
      <c r="N244" s="110"/>
      <c r="O244" s="110"/>
      <c r="P244" s="110"/>
      <c r="Q244" s="110"/>
      <c r="R244" s="110"/>
    </row>
    <row r="245" spans="1:23" x14ac:dyDescent="0.3">
      <c r="A245" s="109">
        <v>221</v>
      </c>
      <c r="B245" s="58">
        <f t="shared" si="61"/>
        <v>1027779</v>
      </c>
      <c r="C245" s="116">
        <f t="shared" si="62"/>
        <v>52759</v>
      </c>
      <c r="D245" s="117">
        <f t="shared" si="63"/>
        <v>2701</v>
      </c>
      <c r="E245" s="116">
        <f t="shared" si="68"/>
        <v>5132.5467583333311</v>
      </c>
      <c r="F245" s="116">
        <f t="shared" si="57"/>
        <v>55460</v>
      </c>
      <c r="G245" s="117">
        <v>0</v>
      </c>
      <c r="H245" s="116">
        <f t="shared" si="64"/>
        <v>55460</v>
      </c>
      <c r="I245" s="116">
        <f t="shared" si="58"/>
        <v>55785</v>
      </c>
      <c r="J245" s="119">
        <f t="shared" si="59"/>
        <v>57996</v>
      </c>
      <c r="K245" s="119">
        <f t="shared" si="60"/>
        <v>60598</v>
      </c>
      <c r="L245" s="110"/>
      <c r="M245" s="110"/>
      <c r="N245" s="110"/>
      <c r="O245" s="110"/>
      <c r="P245" s="110"/>
      <c r="Q245" s="110"/>
      <c r="R245" s="110"/>
    </row>
    <row r="246" spans="1:23" x14ac:dyDescent="0.3">
      <c r="A246" s="109">
        <v>222</v>
      </c>
      <c r="B246" s="58">
        <f t="shared" si="61"/>
        <v>974888</v>
      </c>
      <c r="C246" s="116">
        <f t="shared" si="62"/>
        <v>52891</v>
      </c>
      <c r="D246" s="117">
        <f t="shared" si="63"/>
        <v>2569</v>
      </c>
      <c r="E246" s="116">
        <f t="shared" si="68"/>
        <v>5132.5467583333311</v>
      </c>
      <c r="F246" s="116">
        <f t="shared" si="57"/>
        <v>55460</v>
      </c>
      <c r="G246" s="117">
        <v>0</v>
      </c>
      <c r="H246" s="116">
        <f t="shared" si="64"/>
        <v>55460</v>
      </c>
      <c r="I246" s="116">
        <f t="shared" si="58"/>
        <v>55785</v>
      </c>
      <c r="J246" s="119">
        <f t="shared" si="59"/>
        <v>57996</v>
      </c>
      <c r="K246" s="119">
        <f t="shared" si="60"/>
        <v>60598</v>
      </c>
      <c r="L246" s="110"/>
      <c r="M246" s="110"/>
      <c r="N246" s="110"/>
      <c r="O246" s="110"/>
      <c r="P246" s="110"/>
      <c r="Q246" s="110"/>
      <c r="R246" s="110"/>
    </row>
    <row r="247" spans="1:23" x14ac:dyDescent="0.3">
      <c r="A247" s="109">
        <v>223</v>
      </c>
      <c r="B247" s="58">
        <f t="shared" si="61"/>
        <v>921865</v>
      </c>
      <c r="C247" s="116">
        <f t="shared" si="62"/>
        <v>53023</v>
      </c>
      <c r="D247" s="117">
        <f t="shared" si="63"/>
        <v>2437</v>
      </c>
      <c r="E247" s="116">
        <f t="shared" si="68"/>
        <v>5132.5467583333311</v>
      </c>
      <c r="F247" s="116">
        <f t="shared" si="57"/>
        <v>55460</v>
      </c>
      <c r="G247" s="117">
        <v>0</v>
      </c>
      <c r="H247" s="116">
        <f t="shared" si="64"/>
        <v>55460</v>
      </c>
      <c r="I247" s="116">
        <f t="shared" si="58"/>
        <v>55785</v>
      </c>
      <c r="J247" s="119">
        <f t="shared" si="59"/>
        <v>57996</v>
      </c>
      <c r="K247" s="119">
        <f t="shared" si="60"/>
        <v>60598</v>
      </c>
      <c r="L247" s="110"/>
      <c r="M247" s="110"/>
      <c r="N247" s="110"/>
      <c r="O247" s="110"/>
      <c r="P247" s="110"/>
      <c r="Q247" s="110"/>
      <c r="R247" s="110"/>
    </row>
    <row r="248" spans="1:23" x14ac:dyDescent="0.3">
      <c r="A248" s="109">
        <v>224</v>
      </c>
      <c r="B248" s="58">
        <f t="shared" si="61"/>
        <v>868710</v>
      </c>
      <c r="C248" s="116">
        <f t="shared" si="62"/>
        <v>53155</v>
      </c>
      <c r="D248" s="117">
        <f t="shared" si="63"/>
        <v>2305</v>
      </c>
      <c r="E248" s="116">
        <f t="shared" si="68"/>
        <v>5132.5467583333311</v>
      </c>
      <c r="F248" s="116">
        <f t="shared" si="57"/>
        <v>55460</v>
      </c>
      <c r="G248" s="117">
        <v>0</v>
      </c>
      <c r="H248" s="116">
        <f t="shared" si="64"/>
        <v>55460</v>
      </c>
      <c r="I248" s="116">
        <f t="shared" si="58"/>
        <v>55785</v>
      </c>
      <c r="J248" s="119">
        <f t="shared" si="59"/>
        <v>57996</v>
      </c>
      <c r="K248" s="119">
        <f t="shared" si="60"/>
        <v>60598</v>
      </c>
      <c r="L248" s="110"/>
      <c r="M248" s="110"/>
      <c r="N248" s="110"/>
      <c r="O248" s="110"/>
      <c r="P248" s="110"/>
      <c r="Q248" s="110"/>
      <c r="R248" s="110"/>
    </row>
    <row r="249" spans="1:23" x14ac:dyDescent="0.3">
      <c r="A249" s="109">
        <v>225</v>
      </c>
      <c r="B249" s="58">
        <f t="shared" si="61"/>
        <v>815422</v>
      </c>
      <c r="C249" s="116">
        <f t="shared" si="62"/>
        <v>53288</v>
      </c>
      <c r="D249" s="117">
        <f t="shared" si="63"/>
        <v>2172</v>
      </c>
      <c r="E249" s="116">
        <f t="shared" si="68"/>
        <v>5132.5467583333311</v>
      </c>
      <c r="F249" s="116">
        <f t="shared" si="57"/>
        <v>55460</v>
      </c>
      <c r="G249" s="117">
        <v>0</v>
      </c>
      <c r="H249" s="116">
        <f t="shared" si="64"/>
        <v>55460</v>
      </c>
      <c r="I249" s="116">
        <f t="shared" si="58"/>
        <v>55785</v>
      </c>
      <c r="J249" s="119">
        <f t="shared" si="59"/>
        <v>57996</v>
      </c>
      <c r="K249" s="119">
        <f t="shared" si="60"/>
        <v>60598</v>
      </c>
      <c r="L249" s="110"/>
      <c r="M249" s="110"/>
      <c r="N249" s="110"/>
      <c r="O249" s="110"/>
      <c r="P249" s="110"/>
      <c r="Q249" s="110"/>
      <c r="R249" s="110"/>
    </row>
    <row r="250" spans="1:23" x14ac:dyDescent="0.3">
      <c r="A250" s="109">
        <v>226</v>
      </c>
      <c r="B250" s="58">
        <f t="shared" si="61"/>
        <v>762001</v>
      </c>
      <c r="C250" s="116">
        <f t="shared" si="62"/>
        <v>53421</v>
      </c>
      <c r="D250" s="117">
        <f t="shared" si="63"/>
        <v>2039</v>
      </c>
      <c r="E250" s="116">
        <f t="shared" si="68"/>
        <v>5132.5467583333311</v>
      </c>
      <c r="F250" s="116">
        <f t="shared" si="57"/>
        <v>55460</v>
      </c>
      <c r="G250" s="117">
        <v>0</v>
      </c>
      <c r="H250" s="116">
        <f t="shared" si="64"/>
        <v>55460</v>
      </c>
      <c r="I250" s="116">
        <f t="shared" si="58"/>
        <v>55785</v>
      </c>
      <c r="J250" s="119">
        <f t="shared" si="59"/>
        <v>57996</v>
      </c>
      <c r="K250" s="119">
        <f t="shared" si="60"/>
        <v>60598</v>
      </c>
      <c r="L250" s="110"/>
      <c r="M250" s="110"/>
      <c r="N250" s="110"/>
      <c r="O250" s="110"/>
      <c r="P250" s="110"/>
      <c r="Q250" s="110"/>
      <c r="R250" s="110"/>
    </row>
    <row r="251" spans="1:23" x14ac:dyDescent="0.3">
      <c r="A251" s="109">
        <v>227</v>
      </c>
      <c r="B251" s="58">
        <f t="shared" si="61"/>
        <v>708446</v>
      </c>
      <c r="C251" s="116">
        <f t="shared" si="62"/>
        <v>53555</v>
      </c>
      <c r="D251" s="117">
        <f t="shared" si="63"/>
        <v>1905</v>
      </c>
      <c r="E251" s="116">
        <f t="shared" si="68"/>
        <v>5132.5467583333311</v>
      </c>
      <c r="F251" s="116">
        <f t="shared" si="57"/>
        <v>55460</v>
      </c>
      <c r="G251" s="117">
        <v>0</v>
      </c>
      <c r="H251" s="116">
        <f t="shared" si="64"/>
        <v>55460</v>
      </c>
      <c r="I251" s="116">
        <f t="shared" si="58"/>
        <v>55785</v>
      </c>
      <c r="J251" s="119">
        <f t="shared" si="59"/>
        <v>57996</v>
      </c>
      <c r="K251" s="119">
        <f t="shared" si="60"/>
        <v>60598</v>
      </c>
      <c r="L251" s="110"/>
      <c r="M251" s="110"/>
      <c r="N251" s="110"/>
      <c r="O251" s="110"/>
      <c r="P251" s="110"/>
      <c r="Q251" s="110"/>
      <c r="R251" s="110"/>
    </row>
    <row r="252" spans="1:23" x14ac:dyDescent="0.3">
      <c r="A252" s="109">
        <v>228</v>
      </c>
      <c r="B252" s="58">
        <f t="shared" si="61"/>
        <v>654757</v>
      </c>
      <c r="C252" s="116">
        <f t="shared" si="62"/>
        <v>53689</v>
      </c>
      <c r="D252" s="117">
        <f t="shared" si="63"/>
        <v>1771</v>
      </c>
      <c r="E252" s="116">
        <f t="shared" si="68"/>
        <v>5132.5467583333311</v>
      </c>
      <c r="F252" s="116">
        <f t="shared" si="57"/>
        <v>55460</v>
      </c>
      <c r="G252" s="117">
        <v>0</v>
      </c>
      <c r="H252" s="116">
        <f t="shared" si="64"/>
        <v>55460</v>
      </c>
      <c r="I252" s="116">
        <f t="shared" si="58"/>
        <v>55785</v>
      </c>
      <c r="J252" s="119">
        <f t="shared" si="59"/>
        <v>57996</v>
      </c>
      <c r="K252" s="119">
        <f t="shared" si="60"/>
        <v>60598</v>
      </c>
      <c r="L252" s="58">
        <f t="shared" ref="L252:Q252" si="69">SUM(C241:C252)</f>
        <v>635503</v>
      </c>
      <c r="M252" s="58">
        <f t="shared" si="69"/>
        <v>30017</v>
      </c>
      <c r="N252" s="58">
        <f t="shared" si="69"/>
        <v>61590.56109999997</v>
      </c>
      <c r="O252" s="58">
        <f t="shared" si="69"/>
        <v>665520</v>
      </c>
      <c r="P252" s="58">
        <f t="shared" si="69"/>
        <v>0</v>
      </c>
      <c r="Q252" s="58">
        <f t="shared" si="69"/>
        <v>665520</v>
      </c>
      <c r="R252" s="58">
        <f>SUM(J241:J252)</f>
        <v>695952</v>
      </c>
      <c r="S252" s="29">
        <f>SUM(K241:K252)</f>
        <v>727176</v>
      </c>
      <c r="T252" s="29"/>
      <c r="U252" s="29"/>
      <c r="V252" s="29"/>
      <c r="W252" s="29"/>
    </row>
    <row r="253" spans="1:23" x14ac:dyDescent="0.3">
      <c r="A253" s="109">
        <v>229</v>
      </c>
      <c r="B253" s="58">
        <f t="shared" si="61"/>
        <v>600934</v>
      </c>
      <c r="C253" s="116">
        <f t="shared" si="62"/>
        <v>53823</v>
      </c>
      <c r="D253" s="117">
        <f t="shared" si="63"/>
        <v>1637</v>
      </c>
      <c r="E253" s="116">
        <f t="shared" ref="E253:E264" si="70">IF(A253&gt;$C$3,0,$B$252*($C$5/12))</f>
        <v>2604.5687829166659</v>
      </c>
      <c r="F253" s="116">
        <f t="shared" si="57"/>
        <v>55460</v>
      </c>
      <c r="G253" s="117">
        <v>0</v>
      </c>
      <c r="H253" s="116">
        <f t="shared" si="64"/>
        <v>55460</v>
      </c>
      <c r="I253" s="116">
        <f t="shared" si="58"/>
        <v>55785</v>
      </c>
      <c r="J253" s="119">
        <f t="shared" si="59"/>
        <v>57996</v>
      </c>
      <c r="K253" s="119">
        <f t="shared" si="60"/>
        <v>60598</v>
      </c>
      <c r="L253" s="110"/>
      <c r="M253" s="110"/>
      <c r="N253" s="110"/>
      <c r="O253" s="110"/>
      <c r="P253" s="110"/>
      <c r="Q253" s="110"/>
      <c r="R253" s="110"/>
    </row>
    <row r="254" spans="1:23" x14ac:dyDescent="0.3">
      <c r="A254" s="109">
        <v>230</v>
      </c>
      <c r="B254" s="58">
        <f t="shared" si="61"/>
        <v>546976</v>
      </c>
      <c r="C254" s="116">
        <f t="shared" si="62"/>
        <v>53958</v>
      </c>
      <c r="D254" s="117">
        <f t="shared" si="63"/>
        <v>1502</v>
      </c>
      <c r="E254" s="116">
        <f t="shared" si="70"/>
        <v>2604.5687829166659</v>
      </c>
      <c r="F254" s="116">
        <f t="shared" si="57"/>
        <v>55460</v>
      </c>
      <c r="G254" s="117">
        <v>0</v>
      </c>
      <c r="H254" s="116">
        <f t="shared" si="64"/>
        <v>55460</v>
      </c>
      <c r="I254" s="116">
        <f t="shared" si="58"/>
        <v>55785</v>
      </c>
      <c r="J254" s="119">
        <f t="shared" si="59"/>
        <v>57996</v>
      </c>
      <c r="K254" s="119">
        <f t="shared" si="60"/>
        <v>60598</v>
      </c>
      <c r="L254" s="110"/>
      <c r="M254" s="110"/>
      <c r="N254" s="110"/>
      <c r="O254" s="110"/>
      <c r="P254" s="110"/>
      <c r="Q254" s="110"/>
      <c r="R254" s="110"/>
    </row>
    <row r="255" spans="1:23" x14ac:dyDescent="0.3">
      <c r="A255" s="109">
        <v>231</v>
      </c>
      <c r="B255" s="58">
        <f t="shared" si="61"/>
        <v>492883</v>
      </c>
      <c r="C255" s="116">
        <f t="shared" si="62"/>
        <v>54093</v>
      </c>
      <c r="D255" s="117">
        <f t="shared" si="63"/>
        <v>1367</v>
      </c>
      <c r="E255" s="116">
        <f t="shared" si="70"/>
        <v>2604.5687829166659</v>
      </c>
      <c r="F255" s="116">
        <f t="shared" si="57"/>
        <v>55460</v>
      </c>
      <c r="G255" s="117">
        <v>0</v>
      </c>
      <c r="H255" s="116">
        <f t="shared" si="64"/>
        <v>55460</v>
      </c>
      <c r="I255" s="116">
        <f t="shared" si="58"/>
        <v>55785</v>
      </c>
      <c r="J255" s="119">
        <f t="shared" si="59"/>
        <v>57996</v>
      </c>
      <c r="K255" s="119">
        <f t="shared" si="60"/>
        <v>60598</v>
      </c>
      <c r="L255" s="110"/>
      <c r="M255" s="110"/>
      <c r="N255" s="110"/>
      <c r="O255" s="110"/>
      <c r="P255" s="110"/>
      <c r="Q255" s="110"/>
      <c r="R255" s="110"/>
    </row>
    <row r="256" spans="1:23" x14ac:dyDescent="0.3">
      <c r="A256" s="109">
        <v>232</v>
      </c>
      <c r="B256" s="58">
        <f t="shared" si="61"/>
        <v>438655</v>
      </c>
      <c r="C256" s="116">
        <f t="shared" si="62"/>
        <v>54228</v>
      </c>
      <c r="D256" s="117">
        <f t="shared" si="63"/>
        <v>1232</v>
      </c>
      <c r="E256" s="116">
        <f t="shared" si="70"/>
        <v>2604.5687829166659</v>
      </c>
      <c r="F256" s="116">
        <f t="shared" si="57"/>
        <v>55460</v>
      </c>
      <c r="G256" s="117">
        <v>0</v>
      </c>
      <c r="H256" s="116">
        <f t="shared" si="64"/>
        <v>55460</v>
      </c>
      <c r="I256" s="116">
        <f t="shared" si="58"/>
        <v>55785</v>
      </c>
      <c r="J256" s="119">
        <f t="shared" si="59"/>
        <v>57996</v>
      </c>
      <c r="K256" s="119">
        <f t="shared" si="60"/>
        <v>60598</v>
      </c>
      <c r="L256" s="110"/>
      <c r="M256" s="110"/>
      <c r="N256" s="110"/>
      <c r="O256" s="110"/>
      <c r="P256" s="110"/>
      <c r="Q256" s="110"/>
      <c r="R256" s="110"/>
    </row>
    <row r="257" spans="1:23" x14ac:dyDescent="0.3">
      <c r="A257" s="109">
        <v>233</v>
      </c>
      <c r="B257" s="58">
        <f t="shared" si="61"/>
        <v>384292</v>
      </c>
      <c r="C257" s="116">
        <f t="shared" si="62"/>
        <v>54363</v>
      </c>
      <c r="D257" s="117">
        <f t="shared" si="63"/>
        <v>1097</v>
      </c>
      <c r="E257" s="116">
        <f t="shared" si="70"/>
        <v>2604.5687829166659</v>
      </c>
      <c r="F257" s="116">
        <f t="shared" si="57"/>
        <v>55460</v>
      </c>
      <c r="G257" s="117">
        <v>0</v>
      </c>
      <c r="H257" s="116">
        <f t="shared" si="64"/>
        <v>55460</v>
      </c>
      <c r="I257" s="116">
        <f t="shared" si="58"/>
        <v>55785</v>
      </c>
      <c r="J257" s="119">
        <f t="shared" si="59"/>
        <v>57996</v>
      </c>
      <c r="K257" s="119">
        <f t="shared" si="60"/>
        <v>60598</v>
      </c>
      <c r="L257" s="110"/>
      <c r="M257" s="110"/>
      <c r="N257" s="110"/>
      <c r="O257" s="110"/>
      <c r="P257" s="110"/>
      <c r="Q257" s="110"/>
      <c r="R257" s="110"/>
    </row>
    <row r="258" spans="1:23" x14ac:dyDescent="0.3">
      <c r="A258" s="109">
        <v>234</v>
      </c>
      <c r="B258" s="58">
        <f t="shared" si="61"/>
        <v>329793</v>
      </c>
      <c r="C258" s="116">
        <f t="shared" si="62"/>
        <v>54499</v>
      </c>
      <c r="D258" s="117">
        <f t="shared" si="63"/>
        <v>961</v>
      </c>
      <c r="E258" s="116">
        <f t="shared" si="70"/>
        <v>2604.5687829166659</v>
      </c>
      <c r="F258" s="116">
        <f t="shared" si="57"/>
        <v>55460</v>
      </c>
      <c r="G258" s="117">
        <v>0</v>
      </c>
      <c r="H258" s="116">
        <f t="shared" si="64"/>
        <v>55460</v>
      </c>
      <c r="I258" s="116">
        <f t="shared" si="58"/>
        <v>55785</v>
      </c>
      <c r="J258" s="119">
        <f t="shared" si="59"/>
        <v>57996</v>
      </c>
      <c r="K258" s="119">
        <f t="shared" si="60"/>
        <v>60598</v>
      </c>
      <c r="L258" s="110"/>
      <c r="M258" s="110"/>
      <c r="N258" s="110"/>
      <c r="O258" s="110"/>
      <c r="P258" s="110"/>
      <c r="Q258" s="110"/>
      <c r="R258" s="110"/>
    </row>
    <row r="259" spans="1:23" x14ac:dyDescent="0.3">
      <c r="A259" s="109">
        <v>235</v>
      </c>
      <c r="B259" s="58">
        <f t="shared" si="61"/>
        <v>275157</v>
      </c>
      <c r="C259" s="116">
        <f t="shared" si="62"/>
        <v>54636</v>
      </c>
      <c r="D259" s="117">
        <f t="shared" si="63"/>
        <v>824</v>
      </c>
      <c r="E259" s="116">
        <f t="shared" si="70"/>
        <v>2604.5687829166659</v>
      </c>
      <c r="F259" s="116">
        <f t="shared" si="57"/>
        <v>55460</v>
      </c>
      <c r="G259" s="117">
        <v>0</v>
      </c>
      <c r="H259" s="116">
        <f t="shared" si="64"/>
        <v>55460</v>
      </c>
      <c r="I259" s="116">
        <f t="shared" si="58"/>
        <v>55785</v>
      </c>
      <c r="J259" s="119">
        <f t="shared" si="59"/>
        <v>57996</v>
      </c>
      <c r="K259" s="119">
        <f t="shared" si="60"/>
        <v>60598</v>
      </c>
      <c r="L259" s="110"/>
      <c r="M259" s="110"/>
      <c r="N259" s="110"/>
      <c r="O259" s="110"/>
      <c r="P259" s="110"/>
      <c r="Q259" s="110"/>
      <c r="R259" s="110"/>
    </row>
    <row r="260" spans="1:23" x14ac:dyDescent="0.3">
      <c r="A260" s="109">
        <v>236</v>
      </c>
      <c r="B260" s="58">
        <f t="shared" si="61"/>
        <v>220385</v>
      </c>
      <c r="C260" s="116">
        <f t="shared" si="62"/>
        <v>54772</v>
      </c>
      <c r="D260" s="117">
        <f t="shared" si="63"/>
        <v>688</v>
      </c>
      <c r="E260" s="116">
        <f t="shared" si="70"/>
        <v>2604.5687829166659</v>
      </c>
      <c r="F260" s="116">
        <f t="shared" si="57"/>
        <v>55460</v>
      </c>
      <c r="G260" s="117">
        <v>0</v>
      </c>
      <c r="H260" s="116">
        <f t="shared" si="64"/>
        <v>55460</v>
      </c>
      <c r="I260" s="116">
        <f t="shared" si="58"/>
        <v>55785</v>
      </c>
      <c r="J260" s="119">
        <f t="shared" si="59"/>
        <v>57996</v>
      </c>
      <c r="K260" s="119">
        <f t="shared" si="60"/>
        <v>60598</v>
      </c>
      <c r="L260" s="110"/>
      <c r="M260" s="110"/>
      <c r="N260" s="110"/>
      <c r="O260" s="110"/>
      <c r="P260" s="110"/>
      <c r="Q260" s="110"/>
      <c r="R260" s="110"/>
    </row>
    <row r="261" spans="1:23" x14ac:dyDescent="0.3">
      <c r="A261" s="109">
        <v>237</v>
      </c>
      <c r="B261" s="58">
        <f t="shared" si="61"/>
        <v>165476</v>
      </c>
      <c r="C261" s="116">
        <f t="shared" si="62"/>
        <v>54909</v>
      </c>
      <c r="D261" s="117">
        <f t="shared" si="63"/>
        <v>551</v>
      </c>
      <c r="E261" s="116">
        <f t="shared" si="70"/>
        <v>2604.5687829166659</v>
      </c>
      <c r="F261" s="116">
        <f t="shared" si="57"/>
        <v>55460</v>
      </c>
      <c r="G261" s="117">
        <v>0</v>
      </c>
      <c r="H261" s="116">
        <f t="shared" si="64"/>
        <v>55460</v>
      </c>
      <c r="I261" s="116">
        <f t="shared" si="58"/>
        <v>55785</v>
      </c>
      <c r="J261" s="119">
        <f t="shared" si="59"/>
        <v>57996</v>
      </c>
      <c r="K261" s="119">
        <f t="shared" si="60"/>
        <v>60598</v>
      </c>
      <c r="L261" s="110"/>
      <c r="M261" s="110"/>
      <c r="N261" s="110"/>
      <c r="O261" s="110"/>
      <c r="P261" s="110"/>
      <c r="Q261" s="110"/>
      <c r="R261" s="110"/>
    </row>
    <row r="262" spans="1:23" x14ac:dyDescent="0.3">
      <c r="A262" s="109">
        <v>238</v>
      </c>
      <c r="B262" s="58">
        <f t="shared" si="61"/>
        <v>110430</v>
      </c>
      <c r="C262" s="116">
        <f t="shared" si="62"/>
        <v>55046</v>
      </c>
      <c r="D262" s="117">
        <f t="shared" si="63"/>
        <v>414</v>
      </c>
      <c r="E262" s="116">
        <f t="shared" si="70"/>
        <v>2604.5687829166659</v>
      </c>
      <c r="F262" s="116">
        <f t="shared" si="57"/>
        <v>55460</v>
      </c>
      <c r="G262" s="117">
        <v>0</v>
      </c>
      <c r="H262" s="116">
        <f t="shared" si="64"/>
        <v>55460</v>
      </c>
      <c r="I262" s="116">
        <f t="shared" si="58"/>
        <v>55785</v>
      </c>
      <c r="J262" s="119">
        <f t="shared" si="59"/>
        <v>57996</v>
      </c>
      <c r="K262" s="119">
        <f t="shared" si="60"/>
        <v>60598</v>
      </c>
      <c r="L262" s="110"/>
      <c r="M262" s="110"/>
      <c r="N262" s="110"/>
      <c r="O262" s="110"/>
      <c r="P262" s="110"/>
      <c r="Q262" s="110"/>
      <c r="R262" s="110"/>
    </row>
    <row r="263" spans="1:23" x14ac:dyDescent="0.3">
      <c r="A263" s="109">
        <v>239</v>
      </c>
      <c r="B263" s="58">
        <f t="shared" si="61"/>
        <v>55246</v>
      </c>
      <c r="C263" s="116">
        <f t="shared" si="62"/>
        <v>55184</v>
      </c>
      <c r="D263" s="117">
        <f t="shared" si="63"/>
        <v>276</v>
      </c>
      <c r="E263" s="116">
        <f t="shared" si="70"/>
        <v>2604.5687829166659</v>
      </c>
      <c r="F263" s="116">
        <f t="shared" si="57"/>
        <v>55460</v>
      </c>
      <c r="G263" s="117">
        <v>0</v>
      </c>
      <c r="H263" s="116">
        <f t="shared" si="64"/>
        <v>55460</v>
      </c>
      <c r="I263" s="116">
        <f t="shared" si="58"/>
        <v>55785</v>
      </c>
      <c r="J263" s="119">
        <f t="shared" si="59"/>
        <v>57996</v>
      </c>
      <c r="K263" s="119">
        <f t="shared" si="60"/>
        <v>60598</v>
      </c>
      <c r="L263" s="110"/>
      <c r="M263" s="110"/>
      <c r="N263" s="110"/>
      <c r="O263" s="110"/>
      <c r="P263" s="110"/>
      <c r="Q263" s="110"/>
      <c r="R263" s="110"/>
    </row>
    <row r="264" spans="1:23" x14ac:dyDescent="0.3">
      <c r="A264" s="109">
        <v>240</v>
      </c>
      <c r="B264" s="58">
        <f>B263-C264</f>
        <v>0</v>
      </c>
      <c r="C264" s="116">
        <f t="shared" si="62"/>
        <v>55246</v>
      </c>
      <c r="D264" s="117">
        <f t="shared" si="63"/>
        <v>138</v>
      </c>
      <c r="E264" s="116">
        <f t="shared" si="70"/>
        <v>2604.5687829166659</v>
      </c>
      <c r="F264" s="116">
        <f t="shared" si="57"/>
        <v>55384</v>
      </c>
      <c r="G264" s="117">
        <v>0</v>
      </c>
      <c r="H264" s="116">
        <f t="shared" si="64"/>
        <v>55384</v>
      </c>
      <c r="I264" s="116">
        <f t="shared" si="58"/>
        <v>55709</v>
      </c>
      <c r="J264" s="119">
        <f t="shared" si="59"/>
        <v>55384</v>
      </c>
      <c r="K264" s="119">
        <f t="shared" si="60"/>
        <v>55384</v>
      </c>
      <c r="L264" s="58">
        <f t="shared" ref="L264:Q264" si="71">SUM(C253:C264)</f>
        <v>654757</v>
      </c>
      <c r="M264" s="58">
        <f t="shared" si="71"/>
        <v>10687</v>
      </c>
      <c r="N264" s="58">
        <f t="shared" si="71"/>
        <v>31254.825394999996</v>
      </c>
      <c r="O264" s="58">
        <f t="shared" si="71"/>
        <v>665444</v>
      </c>
      <c r="P264" s="58">
        <f t="shared" si="71"/>
        <v>0</v>
      </c>
      <c r="Q264" s="58">
        <f t="shared" si="71"/>
        <v>665444</v>
      </c>
      <c r="R264" s="58">
        <f>SUM(J253:J264)</f>
        <v>693340</v>
      </c>
      <c r="S264" s="29">
        <f>SUM(K253:K264)</f>
        <v>721962</v>
      </c>
      <c r="T264" s="29"/>
      <c r="U264" s="29"/>
      <c r="V264" s="29"/>
      <c r="W264" s="29"/>
    </row>
    <row r="265" spans="1:23" x14ac:dyDescent="0.3">
      <c r="A265" s="109">
        <v>241</v>
      </c>
      <c r="B265" s="58">
        <f>B264-C265</f>
        <v>0</v>
      </c>
      <c r="C265" s="116">
        <f t="shared" si="62"/>
        <v>0</v>
      </c>
      <c r="D265" s="117">
        <f t="shared" si="63"/>
        <v>0</v>
      </c>
      <c r="E265" s="116">
        <f t="shared" ref="E265:E276" si="72">IF(A265&gt;$C$3,0,$B$264*($C$5/12))</f>
        <v>0</v>
      </c>
      <c r="F265" s="116">
        <f t="shared" si="57"/>
        <v>0</v>
      </c>
      <c r="G265" s="117">
        <v>0</v>
      </c>
      <c r="H265" s="116">
        <f t="shared" si="64"/>
        <v>0</v>
      </c>
      <c r="I265" s="116">
        <f t="shared" si="58"/>
        <v>0</v>
      </c>
      <c r="J265" s="119">
        <f t="shared" si="59"/>
        <v>0</v>
      </c>
      <c r="K265" s="119">
        <f t="shared" si="60"/>
        <v>0</v>
      </c>
      <c r="L265" s="110"/>
      <c r="M265" s="110"/>
      <c r="N265" s="110"/>
      <c r="O265" s="110"/>
      <c r="P265" s="110"/>
      <c r="Q265" s="110"/>
      <c r="R265" s="110"/>
    </row>
    <row r="266" spans="1:23" x14ac:dyDescent="0.3">
      <c r="A266" s="109">
        <v>242</v>
      </c>
      <c r="B266" s="58">
        <f t="shared" si="61"/>
        <v>0</v>
      </c>
      <c r="C266" s="116">
        <f t="shared" si="62"/>
        <v>0</v>
      </c>
      <c r="D266" s="117">
        <f t="shared" si="63"/>
        <v>0</v>
      </c>
      <c r="E266" s="116">
        <f t="shared" si="72"/>
        <v>0</v>
      </c>
      <c r="F266" s="116">
        <f t="shared" si="57"/>
        <v>0</v>
      </c>
      <c r="G266" s="117">
        <v>0</v>
      </c>
      <c r="H266" s="116">
        <f t="shared" si="64"/>
        <v>0</v>
      </c>
      <c r="I266" s="116">
        <f t="shared" si="58"/>
        <v>0</v>
      </c>
      <c r="J266" s="119">
        <f t="shared" si="59"/>
        <v>0</v>
      </c>
      <c r="K266" s="119">
        <f t="shared" si="60"/>
        <v>0</v>
      </c>
      <c r="L266" s="110"/>
      <c r="M266" s="110"/>
      <c r="N266" s="110"/>
      <c r="O266" s="110"/>
      <c r="P266" s="110"/>
      <c r="Q266" s="110"/>
      <c r="R266" s="110"/>
    </row>
    <row r="267" spans="1:23" x14ac:dyDescent="0.3">
      <c r="A267" s="109">
        <v>243</v>
      </c>
      <c r="B267" s="58">
        <f t="shared" si="61"/>
        <v>0</v>
      </c>
      <c r="C267" s="116">
        <f t="shared" si="62"/>
        <v>0</v>
      </c>
      <c r="D267" s="117">
        <f t="shared" si="63"/>
        <v>0</v>
      </c>
      <c r="E267" s="116">
        <f t="shared" si="72"/>
        <v>0</v>
      </c>
      <c r="F267" s="116">
        <f t="shared" si="57"/>
        <v>0</v>
      </c>
      <c r="G267" s="117">
        <v>0</v>
      </c>
      <c r="H267" s="116">
        <f t="shared" si="64"/>
        <v>0</v>
      </c>
      <c r="I267" s="116">
        <f t="shared" si="58"/>
        <v>0</v>
      </c>
      <c r="J267" s="119">
        <f t="shared" si="59"/>
        <v>0</v>
      </c>
      <c r="K267" s="119">
        <f t="shared" si="60"/>
        <v>0</v>
      </c>
      <c r="L267" s="110"/>
      <c r="M267" s="110"/>
      <c r="N267" s="110"/>
      <c r="O267" s="110"/>
      <c r="P267" s="110"/>
      <c r="Q267" s="110"/>
      <c r="R267" s="110"/>
    </row>
    <row r="268" spans="1:23" x14ac:dyDescent="0.3">
      <c r="A268" s="109">
        <v>244</v>
      </c>
      <c r="B268" s="58">
        <f t="shared" si="61"/>
        <v>0</v>
      </c>
      <c r="C268" s="116">
        <f t="shared" si="62"/>
        <v>0</v>
      </c>
      <c r="D268" s="117">
        <f t="shared" si="63"/>
        <v>0</v>
      </c>
      <c r="E268" s="116">
        <f t="shared" si="72"/>
        <v>0</v>
      </c>
      <c r="F268" s="116">
        <f t="shared" si="57"/>
        <v>0</v>
      </c>
      <c r="G268" s="117">
        <v>0</v>
      </c>
      <c r="H268" s="116">
        <f t="shared" si="64"/>
        <v>0</v>
      </c>
      <c r="I268" s="116">
        <f t="shared" si="58"/>
        <v>0</v>
      </c>
      <c r="J268" s="119">
        <f t="shared" si="59"/>
        <v>0</v>
      </c>
      <c r="K268" s="119">
        <f t="shared" si="60"/>
        <v>0</v>
      </c>
      <c r="L268" s="110"/>
      <c r="M268" s="110"/>
      <c r="N268" s="110"/>
      <c r="O268" s="110"/>
      <c r="P268" s="110"/>
      <c r="Q268" s="110"/>
      <c r="R268" s="110"/>
    </row>
    <row r="269" spans="1:23" x14ac:dyDescent="0.3">
      <c r="A269" s="109">
        <v>245</v>
      </c>
      <c r="B269" s="58">
        <f t="shared" si="61"/>
        <v>0</v>
      </c>
      <c r="C269" s="116">
        <f t="shared" si="62"/>
        <v>0</v>
      </c>
      <c r="D269" s="117">
        <f t="shared" si="63"/>
        <v>0</v>
      </c>
      <c r="E269" s="116">
        <f t="shared" si="72"/>
        <v>0</v>
      </c>
      <c r="F269" s="116">
        <f t="shared" si="57"/>
        <v>0</v>
      </c>
      <c r="G269" s="117">
        <v>0</v>
      </c>
      <c r="H269" s="116">
        <f t="shared" si="64"/>
        <v>0</v>
      </c>
      <c r="I269" s="116">
        <f t="shared" si="58"/>
        <v>0</v>
      </c>
      <c r="J269" s="119">
        <f t="shared" si="59"/>
        <v>0</v>
      </c>
      <c r="K269" s="119">
        <f t="shared" si="60"/>
        <v>0</v>
      </c>
      <c r="L269" s="110"/>
      <c r="M269" s="110"/>
      <c r="N269" s="110"/>
      <c r="O269" s="110"/>
      <c r="P269" s="110"/>
      <c r="Q269" s="110"/>
      <c r="R269" s="110"/>
    </row>
    <row r="270" spans="1:23" x14ac:dyDescent="0.3">
      <c r="A270" s="109">
        <v>246</v>
      </c>
      <c r="B270" s="58">
        <f t="shared" si="61"/>
        <v>0</v>
      </c>
      <c r="C270" s="116">
        <f t="shared" si="62"/>
        <v>0</v>
      </c>
      <c r="D270" s="117">
        <f t="shared" si="63"/>
        <v>0</v>
      </c>
      <c r="E270" s="116">
        <f t="shared" si="72"/>
        <v>0</v>
      </c>
      <c r="F270" s="116">
        <f t="shared" si="57"/>
        <v>0</v>
      </c>
      <c r="G270" s="117">
        <v>0</v>
      </c>
      <c r="H270" s="116">
        <f t="shared" si="64"/>
        <v>0</v>
      </c>
      <c r="I270" s="116">
        <f t="shared" si="58"/>
        <v>0</v>
      </c>
      <c r="J270" s="119">
        <f t="shared" si="59"/>
        <v>0</v>
      </c>
      <c r="K270" s="119">
        <f t="shared" si="60"/>
        <v>0</v>
      </c>
      <c r="L270" s="110"/>
      <c r="M270" s="110"/>
      <c r="N270" s="110"/>
      <c r="O270" s="110"/>
      <c r="P270" s="110"/>
      <c r="Q270" s="110"/>
      <c r="R270" s="110"/>
    </row>
    <row r="271" spans="1:23" x14ac:dyDescent="0.3">
      <c r="A271" s="109">
        <v>247</v>
      </c>
      <c r="B271" s="58">
        <f t="shared" si="61"/>
        <v>0</v>
      </c>
      <c r="C271" s="116">
        <f t="shared" si="62"/>
        <v>0</v>
      </c>
      <c r="D271" s="117">
        <f t="shared" si="63"/>
        <v>0</v>
      </c>
      <c r="E271" s="116">
        <f t="shared" si="72"/>
        <v>0</v>
      </c>
      <c r="F271" s="116">
        <f t="shared" si="57"/>
        <v>0</v>
      </c>
      <c r="G271" s="117">
        <v>0</v>
      </c>
      <c r="H271" s="116">
        <f t="shared" si="64"/>
        <v>0</v>
      </c>
      <c r="I271" s="116">
        <f t="shared" si="58"/>
        <v>0</v>
      </c>
      <c r="J271" s="119">
        <f t="shared" si="59"/>
        <v>0</v>
      </c>
      <c r="K271" s="119">
        <f t="shared" si="60"/>
        <v>0</v>
      </c>
      <c r="L271" s="110"/>
      <c r="M271" s="110"/>
      <c r="N271" s="110"/>
      <c r="O271" s="110"/>
      <c r="P271" s="110"/>
      <c r="Q271" s="110"/>
      <c r="R271" s="110"/>
    </row>
    <row r="272" spans="1:23" x14ac:dyDescent="0.3">
      <c r="A272" s="109">
        <v>248</v>
      </c>
      <c r="B272" s="58">
        <f t="shared" si="61"/>
        <v>0</v>
      </c>
      <c r="C272" s="116">
        <f t="shared" si="62"/>
        <v>0</v>
      </c>
      <c r="D272" s="117">
        <f t="shared" si="63"/>
        <v>0</v>
      </c>
      <c r="E272" s="116">
        <f t="shared" si="72"/>
        <v>0</v>
      </c>
      <c r="F272" s="116">
        <f t="shared" si="57"/>
        <v>0</v>
      </c>
      <c r="G272" s="117">
        <v>0</v>
      </c>
      <c r="H272" s="116">
        <f t="shared" si="64"/>
        <v>0</v>
      </c>
      <c r="I272" s="116">
        <f t="shared" si="58"/>
        <v>0</v>
      </c>
      <c r="J272" s="119">
        <f t="shared" si="59"/>
        <v>0</v>
      </c>
      <c r="K272" s="119">
        <f t="shared" si="60"/>
        <v>0</v>
      </c>
      <c r="L272" s="110"/>
      <c r="M272" s="110"/>
      <c r="N272" s="110"/>
      <c r="O272" s="110"/>
      <c r="P272" s="110"/>
      <c r="Q272" s="110"/>
      <c r="R272" s="110"/>
    </row>
    <row r="273" spans="1:23" x14ac:dyDescent="0.3">
      <c r="A273" s="109">
        <v>249</v>
      </c>
      <c r="B273" s="58">
        <f t="shared" si="61"/>
        <v>0</v>
      </c>
      <c r="C273" s="116">
        <f t="shared" si="62"/>
        <v>0</v>
      </c>
      <c r="D273" s="117">
        <f t="shared" si="63"/>
        <v>0</v>
      </c>
      <c r="E273" s="116">
        <f t="shared" si="72"/>
        <v>0</v>
      </c>
      <c r="F273" s="116">
        <f t="shared" si="57"/>
        <v>0</v>
      </c>
      <c r="G273" s="117">
        <v>0</v>
      </c>
      <c r="H273" s="116">
        <f t="shared" si="64"/>
        <v>0</v>
      </c>
      <c r="I273" s="116">
        <f t="shared" si="58"/>
        <v>0</v>
      </c>
      <c r="J273" s="119">
        <f t="shared" si="59"/>
        <v>0</v>
      </c>
      <c r="K273" s="119">
        <f t="shared" si="60"/>
        <v>0</v>
      </c>
      <c r="L273" s="110"/>
      <c r="M273" s="110"/>
      <c r="N273" s="110"/>
      <c r="O273" s="110"/>
      <c r="P273" s="110"/>
      <c r="Q273" s="110"/>
      <c r="R273" s="110"/>
    </row>
    <row r="274" spans="1:23" x14ac:dyDescent="0.3">
      <c r="A274" s="109">
        <v>250</v>
      </c>
      <c r="B274" s="58">
        <f t="shared" si="61"/>
        <v>0</v>
      </c>
      <c r="C274" s="116">
        <f t="shared" si="62"/>
        <v>0</v>
      </c>
      <c r="D274" s="117">
        <f t="shared" si="63"/>
        <v>0</v>
      </c>
      <c r="E274" s="116">
        <f t="shared" si="72"/>
        <v>0</v>
      </c>
      <c r="F274" s="116">
        <f t="shared" si="57"/>
        <v>0</v>
      </c>
      <c r="G274" s="117">
        <v>0</v>
      </c>
      <c r="H274" s="116">
        <f t="shared" si="64"/>
        <v>0</v>
      </c>
      <c r="I274" s="116">
        <f t="shared" si="58"/>
        <v>0</v>
      </c>
      <c r="J274" s="119">
        <f t="shared" si="59"/>
        <v>0</v>
      </c>
      <c r="K274" s="119">
        <f t="shared" si="60"/>
        <v>0</v>
      </c>
      <c r="L274" s="110"/>
      <c r="M274" s="110"/>
      <c r="N274" s="110"/>
      <c r="O274" s="110"/>
      <c r="P274" s="110"/>
      <c r="Q274" s="110"/>
      <c r="R274" s="110"/>
    </row>
    <row r="275" spans="1:23" x14ac:dyDescent="0.3">
      <c r="A275" s="109">
        <v>251</v>
      </c>
      <c r="B275" s="58">
        <f t="shared" si="61"/>
        <v>0</v>
      </c>
      <c r="C275" s="116">
        <f t="shared" si="62"/>
        <v>0</v>
      </c>
      <c r="D275" s="117">
        <f t="shared" si="63"/>
        <v>0</v>
      </c>
      <c r="E275" s="116">
        <f t="shared" si="72"/>
        <v>0</v>
      </c>
      <c r="F275" s="116">
        <f t="shared" si="57"/>
        <v>0</v>
      </c>
      <c r="G275" s="117">
        <v>0</v>
      </c>
      <c r="H275" s="116">
        <f t="shared" si="64"/>
        <v>0</v>
      </c>
      <c r="I275" s="116">
        <f t="shared" si="58"/>
        <v>0</v>
      </c>
      <c r="J275" s="119">
        <f t="shared" si="59"/>
        <v>0</v>
      </c>
      <c r="K275" s="119">
        <f t="shared" si="60"/>
        <v>0</v>
      </c>
      <c r="L275" s="110"/>
      <c r="M275" s="110"/>
      <c r="N275" s="110"/>
      <c r="O275" s="110"/>
      <c r="P275" s="110"/>
      <c r="Q275" s="110"/>
      <c r="R275" s="110"/>
    </row>
    <row r="276" spans="1:23" x14ac:dyDescent="0.3">
      <c r="A276" s="109">
        <v>252</v>
      </c>
      <c r="B276" s="58">
        <f t="shared" si="61"/>
        <v>0</v>
      </c>
      <c r="C276" s="116">
        <f t="shared" si="62"/>
        <v>0</v>
      </c>
      <c r="D276" s="117">
        <f t="shared" si="63"/>
        <v>0</v>
      </c>
      <c r="E276" s="116">
        <f t="shared" si="72"/>
        <v>0</v>
      </c>
      <c r="F276" s="116">
        <f t="shared" si="57"/>
        <v>0</v>
      </c>
      <c r="G276" s="117">
        <v>0</v>
      </c>
      <c r="H276" s="116">
        <f t="shared" si="64"/>
        <v>0</v>
      </c>
      <c r="I276" s="116">
        <f t="shared" si="58"/>
        <v>0</v>
      </c>
      <c r="J276" s="119">
        <f t="shared" si="59"/>
        <v>0</v>
      </c>
      <c r="K276" s="119">
        <f t="shared" si="60"/>
        <v>0</v>
      </c>
      <c r="L276" s="58">
        <f t="shared" ref="L276:Q276" si="73">SUM(C265:C276)</f>
        <v>0</v>
      </c>
      <c r="M276" s="58">
        <f t="shared" si="73"/>
        <v>0</v>
      </c>
      <c r="N276" s="58">
        <f t="shared" si="73"/>
        <v>0</v>
      </c>
      <c r="O276" s="58">
        <f t="shared" si="73"/>
        <v>0</v>
      </c>
      <c r="P276" s="58">
        <f t="shared" si="73"/>
        <v>0</v>
      </c>
      <c r="Q276" s="58">
        <f t="shared" si="73"/>
        <v>0</v>
      </c>
      <c r="R276" s="58">
        <f>SUM(J265:J276)</f>
        <v>0</v>
      </c>
      <c r="S276" s="29">
        <f>SUM(K265:K276)</f>
        <v>0</v>
      </c>
      <c r="T276" s="29"/>
      <c r="U276" s="29"/>
      <c r="V276" s="29"/>
      <c r="W276" s="29"/>
    </row>
    <row r="277" spans="1:23" x14ac:dyDescent="0.3">
      <c r="A277" s="109">
        <v>253</v>
      </c>
      <c r="B277" s="58">
        <f t="shared" si="61"/>
        <v>0</v>
      </c>
      <c r="C277" s="116">
        <f t="shared" si="62"/>
        <v>0</v>
      </c>
      <c r="D277" s="117">
        <f t="shared" si="63"/>
        <v>0</v>
      </c>
      <c r="E277" s="116">
        <f t="shared" ref="E277:E288" si="74">IF(A277&gt;$C$3,0,$B$276*($C$5/12))</f>
        <v>0</v>
      </c>
      <c r="F277" s="116">
        <f t="shared" si="57"/>
        <v>0</v>
      </c>
      <c r="G277" s="117">
        <v>0</v>
      </c>
      <c r="H277" s="116">
        <f t="shared" si="64"/>
        <v>0</v>
      </c>
      <c r="I277" s="116">
        <f t="shared" si="58"/>
        <v>0</v>
      </c>
      <c r="J277" s="119">
        <f t="shared" si="59"/>
        <v>0</v>
      </c>
      <c r="K277" s="119">
        <f t="shared" si="60"/>
        <v>0</v>
      </c>
      <c r="L277" s="110"/>
      <c r="M277" s="110"/>
      <c r="N277" s="110"/>
      <c r="O277" s="110"/>
      <c r="P277" s="110"/>
      <c r="Q277" s="110"/>
      <c r="R277" s="110"/>
    </row>
    <row r="278" spans="1:23" x14ac:dyDescent="0.3">
      <c r="A278" s="109">
        <v>254</v>
      </c>
      <c r="B278" s="58">
        <f t="shared" si="61"/>
        <v>0</v>
      </c>
      <c r="C278" s="116">
        <f t="shared" si="62"/>
        <v>0</v>
      </c>
      <c r="D278" s="117">
        <f t="shared" si="63"/>
        <v>0</v>
      </c>
      <c r="E278" s="116">
        <f t="shared" si="74"/>
        <v>0</v>
      </c>
      <c r="F278" s="116">
        <f t="shared" si="57"/>
        <v>0</v>
      </c>
      <c r="G278" s="117">
        <v>0</v>
      </c>
      <c r="H278" s="116">
        <f t="shared" si="64"/>
        <v>0</v>
      </c>
      <c r="I278" s="116">
        <f t="shared" si="58"/>
        <v>0</v>
      </c>
      <c r="J278" s="119">
        <f t="shared" si="59"/>
        <v>0</v>
      </c>
      <c r="K278" s="119">
        <f t="shared" si="60"/>
        <v>0</v>
      </c>
      <c r="L278" s="110"/>
      <c r="M278" s="110"/>
      <c r="N278" s="110"/>
      <c r="O278" s="110"/>
      <c r="P278" s="110"/>
      <c r="Q278" s="110"/>
      <c r="R278" s="110"/>
    </row>
    <row r="279" spans="1:23" x14ac:dyDescent="0.3">
      <c r="A279" s="109">
        <v>255</v>
      </c>
      <c r="B279" s="58">
        <f t="shared" si="61"/>
        <v>0</v>
      </c>
      <c r="C279" s="116">
        <f t="shared" si="62"/>
        <v>0</v>
      </c>
      <c r="D279" s="117">
        <f t="shared" si="63"/>
        <v>0</v>
      </c>
      <c r="E279" s="116">
        <f t="shared" si="74"/>
        <v>0</v>
      </c>
      <c r="F279" s="116">
        <f t="shared" si="57"/>
        <v>0</v>
      </c>
      <c r="G279" s="117">
        <v>0</v>
      </c>
      <c r="H279" s="116">
        <f t="shared" si="64"/>
        <v>0</v>
      </c>
      <c r="I279" s="116">
        <f t="shared" si="58"/>
        <v>0</v>
      </c>
      <c r="J279" s="119">
        <f t="shared" si="59"/>
        <v>0</v>
      </c>
      <c r="K279" s="119">
        <f t="shared" si="60"/>
        <v>0</v>
      </c>
      <c r="L279" s="110"/>
      <c r="M279" s="110"/>
      <c r="N279" s="110"/>
      <c r="O279" s="110"/>
      <c r="P279" s="110"/>
      <c r="Q279" s="110"/>
      <c r="R279" s="110"/>
    </row>
    <row r="280" spans="1:23" x14ac:dyDescent="0.3">
      <c r="A280" s="109">
        <v>256</v>
      </c>
      <c r="B280" s="58">
        <f t="shared" si="61"/>
        <v>0</v>
      </c>
      <c r="C280" s="116">
        <f t="shared" si="62"/>
        <v>0</v>
      </c>
      <c r="D280" s="117">
        <f t="shared" si="63"/>
        <v>0</v>
      </c>
      <c r="E280" s="116">
        <f t="shared" si="74"/>
        <v>0</v>
      </c>
      <c r="F280" s="116">
        <f t="shared" si="57"/>
        <v>0</v>
      </c>
      <c r="G280" s="117">
        <v>0</v>
      </c>
      <c r="H280" s="116">
        <f t="shared" si="64"/>
        <v>0</v>
      </c>
      <c r="I280" s="116">
        <f t="shared" si="58"/>
        <v>0</v>
      </c>
      <c r="J280" s="119">
        <f t="shared" si="59"/>
        <v>0</v>
      </c>
      <c r="K280" s="119">
        <f t="shared" si="60"/>
        <v>0</v>
      </c>
      <c r="L280" s="110"/>
      <c r="M280" s="110"/>
      <c r="N280" s="110"/>
      <c r="O280" s="110"/>
      <c r="P280" s="110"/>
      <c r="Q280" s="110"/>
      <c r="R280" s="110"/>
    </row>
    <row r="281" spans="1:23" x14ac:dyDescent="0.3">
      <c r="A281" s="109">
        <v>257</v>
      </c>
      <c r="B281" s="58">
        <f t="shared" si="61"/>
        <v>0</v>
      </c>
      <c r="C281" s="116">
        <f t="shared" si="62"/>
        <v>0</v>
      </c>
      <c r="D281" s="117">
        <f t="shared" si="63"/>
        <v>0</v>
      </c>
      <c r="E281" s="116">
        <f t="shared" si="74"/>
        <v>0</v>
      </c>
      <c r="F281" s="116">
        <f t="shared" ref="F281:F324" si="75">ROUND(IF(A281&gt;$G$6,(IF(A281&gt;=$C$3,B280+D281,PMT($C$4/12,$C$3-$G$6,-$B$24))),D281),0)</f>
        <v>0</v>
      </c>
      <c r="G281" s="117">
        <v>0</v>
      </c>
      <c r="H281" s="116">
        <f t="shared" si="64"/>
        <v>0</v>
      </c>
      <c r="I281" s="116">
        <f t="shared" ref="I281:I324" si="76">IF(A281&lt;=$C$3,H281+$C$17,0)</f>
        <v>0</v>
      </c>
      <c r="J281" s="119">
        <f t="shared" ref="J281:J324" si="77">ROUND(IF(A281&gt;$G$6,(IF(A281&gt;=$C$3,B280+D281,PMT($L$12/12,$C$3-$G$6,-$B$24))),D281),0)</f>
        <v>0</v>
      </c>
      <c r="K281" s="119">
        <f t="shared" ref="K281:K324" si="78">ROUND(IF(A281&gt;$G$6,(IF(A281&gt;=$C$3,B280+D281,PMT($L$13/12,$C$3-$G$6,-$B$24))),D281),0)</f>
        <v>0</v>
      </c>
      <c r="L281" s="110"/>
      <c r="M281" s="110"/>
      <c r="N281" s="110"/>
      <c r="O281" s="110"/>
      <c r="P281" s="110"/>
      <c r="Q281" s="110"/>
      <c r="R281" s="110"/>
    </row>
    <row r="282" spans="1:23" x14ac:dyDescent="0.3">
      <c r="A282" s="109">
        <v>258</v>
      </c>
      <c r="B282" s="58">
        <f t="shared" ref="B282:B324" si="79">B281-C282</f>
        <v>0</v>
      </c>
      <c r="C282" s="116">
        <f t="shared" ref="C282:C325" si="80">+F282-D282</f>
        <v>0</v>
      </c>
      <c r="D282" s="117">
        <f t="shared" ref="D282:D324" si="81">ROUND(IF(A282&gt;$G$6,B281*$C$4*30/360,0),0)</f>
        <v>0</v>
      </c>
      <c r="E282" s="116">
        <f t="shared" si="74"/>
        <v>0</v>
      </c>
      <c r="F282" s="116">
        <f t="shared" si="75"/>
        <v>0</v>
      </c>
      <c r="G282" s="117">
        <v>0</v>
      </c>
      <c r="H282" s="116">
        <f t="shared" si="64"/>
        <v>0</v>
      </c>
      <c r="I282" s="116">
        <f t="shared" si="76"/>
        <v>0</v>
      </c>
      <c r="J282" s="119">
        <f t="shared" si="77"/>
        <v>0</v>
      </c>
      <c r="K282" s="119">
        <f t="shared" si="78"/>
        <v>0</v>
      </c>
      <c r="L282" s="110"/>
      <c r="M282" s="110"/>
      <c r="N282" s="110"/>
      <c r="O282" s="110"/>
      <c r="P282" s="110"/>
      <c r="Q282" s="110"/>
      <c r="R282" s="110"/>
    </row>
    <row r="283" spans="1:23" x14ac:dyDescent="0.3">
      <c r="A283" s="109">
        <v>259</v>
      </c>
      <c r="B283" s="58">
        <f t="shared" si="79"/>
        <v>0</v>
      </c>
      <c r="C283" s="116">
        <f t="shared" si="80"/>
        <v>0</v>
      </c>
      <c r="D283" s="117">
        <f t="shared" si="81"/>
        <v>0</v>
      </c>
      <c r="E283" s="116">
        <f t="shared" si="74"/>
        <v>0</v>
      </c>
      <c r="F283" s="116">
        <f t="shared" si="75"/>
        <v>0</v>
      </c>
      <c r="G283" s="117">
        <v>0</v>
      </c>
      <c r="H283" s="116">
        <f t="shared" ref="H283:H324" si="82">F283+G283</f>
        <v>0</v>
      </c>
      <c r="I283" s="116">
        <f t="shared" si="76"/>
        <v>0</v>
      </c>
      <c r="J283" s="119">
        <f t="shared" si="77"/>
        <v>0</v>
      </c>
      <c r="K283" s="119">
        <f t="shared" si="78"/>
        <v>0</v>
      </c>
      <c r="L283" s="110"/>
      <c r="M283" s="110"/>
      <c r="N283" s="110"/>
      <c r="O283" s="110"/>
      <c r="P283" s="110"/>
      <c r="Q283" s="110"/>
      <c r="R283" s="110"/>
    </row>
    <row r="284" spans="1:23" x14ac:dyDescent="0.3">
      <c r="A284" s="109">
        <v>260</v>
      </c>
      <c r="B284" s="58">
        <f t="shared" si="79"/>
        <v>0</v>
      </c>
      <c r="C284" s="116">
        <f t="shared" si="80"/>
        <v>0</v>
      </c>
      <c r="D284" s="117">
        <f t="shared" si="81"/>
        <v>0</v>
      </c>
      <c r="E284" s="116">
        <f t="shared" si="74"/>
        <v>0</v>
      </c>
      <c r="F284" s="116">
        <f t="shared" si="75"/>
        <v>0</v>
      </c>
      <c r="G284" s="117">
        <v>0</v>
      </c>
      <c r="H284" s="116">
        <f t="shared" si="82"/>
        <v>0</v>
      </c>
      <c r="I284" s="116">
        <f t="shared" si="76"/>
        <v>0</v>
      </c>
      <c r="J284" s="119">
        <f t="shared" si="77"/>
        <v>0</v>
      </c>
      <c r="K284" s="119">
        <f t="shared" si="78"/>
        <v>0</v>
      </c>
      <c r="L284" s="110"/>
      <c r="M284" s="110"/>
      <c r="N284" s="110"/>
      <c r="O284" s="110"/>
      <c r="P284" s="110"/>
      <c r="Q284" s="110"/>
      <c r="R284" s="110"/>
    </row>
    <row r="285" spans="1:23" x14ac:dyDescent="0.3">
      <c r="A285" s="109">
        <v>261</v>
      </c>
      <c r="B285" s="58">
        <f t="shared" si="79"/>
        <v>0</v>
      </c>
      <c r="C285" s="116">
        <f t="shared" si="80"/>
        <v>0</v>
      </c>
      <c r="D285" s="117">
        <f t="shared" si="81"/>
        <v>0</v>
      </c>
      <c r="E285" s="116">
        <f t="shared" si="74"/>
        <v>0</v>
      </c>
      <c r="F285" s="116">
        <f t="shared" si="75"/>
        <v>0</v>
      </c>
      <c r="G285" s="117">
        <v>0</v>
      </c>
      <c r="H285" s="116">
        <f t="shared" si="82"/>
        <v>0</v>
      </c>
      <c r="I285" s="116">
        <f t="shared" si="76"/>
        <v>0</v>
      </c>
      <c r="J285" s="119">
        <f t="shared" si="77"/>
        <v>0</v>
      </c>
      <c r="K285" s="119">
        <f t="shared" si="78"/>
        <v>0</v>
      </c>
      <c r="L285" s="110"/>
      <c r="M285" s="110"/>
      <c r="N285" s="110"/>
      <c r="O285" s="110"/>
      <c r="P285" s="110"/>
      <c r="Q285" s="110"/>
      <c r="R285" s="110"/>
    </row>
    <row r="286" spans="1:23" x14ac:dyDescent="0.3">
      <c r="A286" s="109">
        <v>262</v>
      </c>
      <c r="B286" s="58">
        <f t="shared" si="79"/>
        <v>0</v>
      </c>
      <c r="C286" s="116">
        <f t="shared" si="80"/>
        <v>0</v>
      </c>
      <c r="D286" s="117">
        <f t="shared" si="81"/>
        <v>0</v>
      </c>
      <c r="E286" s="116">
        <f t="shared" si="74"/>
        <v>0</v>
      </c>
      <c r="F286" s="116">
        <f t="shared" si="75"/>
        <v>0</v>
      </c>
      <c r="G286" s="117">
        <v>0</v>
      </c>
      <c r="H286" s="116">
        <f t="shared" si="82"/>
        <v>0</v>
      </c>
      <c r="I286" s="116">
        <f t="shared" si="76"/>
        <v>0</v>
      </c>
      <c r="J286" s="119">
        <f t="shared" si="77"/>
        <v>0</v>
      </c>
      <c r="K286" s="119">
        <f t="shared" si="78"/>
        <v>0</v>
      </c>
      <c r="L286" s="110"/>
      <c r="M286" s="110"/>
      <c r="N286" s="110"/>
      <c r="O286" s="110"/>
      <c r="P286" s="110"/>
      <c r="Q286" s="110"/>
      <c r="R286" s="110"/>
    </row>
    <row r="287" spans="1:23" x14ac:dyDescent="0.3">
      <c r="A287" s="109">
        <v>263</v>
      </c>
      <c r="B287" s="58">
        <f t="shared" si="79"/>
        <v>0</v>
      </c>
      <c r="C287" s="116">
        <f t="shared" si="80"/>
        <v>0</v>
      </c>
      <c r="D287" s="117">
        <f t="shared" si="81"/>
        <v>0</v>
      </c>
      <c r="E287" s="116">
        <f t="shared" si="74"/>
        <v>0</v>
      </c>
      <c r="F287" s="116">
        <f t="shared" si="75"/>
        <v>0</v>
      </c>
      <c r="G287" s="117">
        <v>0</v>
      </c>
      <c r="H287" s="116">
        <f t="shared" si="82"/>
        <v>0</v>
      </c>
      <c r="I287" s="116">
        <f t="shared" si="76"/>
        <v>0</v>
      </c>
      <c r="J287" s="119">
        <f t="shared" si="77"/>
        <v>0</v>
      </c>
      <c r="K287" s="119">
        <f t="shared" si="78"/>
        <v>0</v>
      </c>
      <c r="L287" s="110"/>
      <c r="M287" s="110"/>
      <c r="N287" s="110"/>
      <c r="O287" s="110"/>
      <c r="P287" s="110"/>
      <c r="Q287" s="110"/>
      <c r="R287" s="110"/>
    </row>
    <row r="288" spans="1:23" x14ac:dyDescent="0.3">
      <c r="A288" s="109">
        <v>264</v>
      </c>
      <c r="B288" s="58">
        <f t="shared" si="79"/>
        <v>0</v>
      </c>
      <c r="C288" s="116">
        <f t="shared" si="80"/>
        <v>0</v>
      </c>
      <c r="D288" s="117">
        <f t="shared" si="81"/>
        <v>0</v>
      </c>
      <c r="E288" s="116">
        <f t="shared" si="74"/>
        <v>0</v>
      </c>
      <c r="F288" s="116">
        <f t="shared" si="75"/>
        <v>0</v>
      </c>
      <c r="G288" s="117">
        <v>0</v>
      </c>
      <c r="H288" s="116">
        <f t="shared" si="82"/>
        <v>0</v>
      </c>
      <c r="I288" s="116">
        <f t="shared" si="76"/>
        <v>0</v>
      </c>
      <c r="J288" s="119">
        <f t="shared" si="77"/>
        <v>0</v>
      </c>
      <c r="K288" s="119">
        <f t="shared" si="78"/>
        <v>0</v>
      </c>
      <c r="L288" s="58">
        <f t="shared" ref="L288:Q288" si="83">SUM(C277:C288)</f>
        <v>0</v>
      </c>
      <c r="M288" s="58">
        <f t="shared" si="83"/>
        <v>0</v>
      </c>
      <c r="N288" s="58">
        <f t="shared" si="83"/>
        <v>0</v>
      </c>
      <c r="O288" s="58">
        <f t="shared" si="83"/>
        <v>0</v>
      </c>
      <c r="P288" s="58">
        <f t="shared" si="83"/>
        <v>0</v>
      </c>
      <c r="Q288" s="58">
        <f t="shared" si="83"/>
        <v>0</v>
      </c>
      <c r="R288" s="58">
        <f>SUM(J277:J288)</f>
        <v>0</v>
      </c>
      <c r="S288" s="29">
        <f>SUM(K277:K288)</f>
        <v>0</v>
      </c>
      <c r="T288" s="29"/>
      <c r="U288" s="29"/>
      <c r="V288" s="29"/>
      <c r="W288" s="29"/>
    </row>
    <row r="289" spans="1:23" x14ac:dyDescent="0.3">
      <c r="A289" s="109">
        <v>265</v>
      </c>
      <c r="B289" s="58">
        <f t="shared" si="79"/>
        <v>0</v>
      </c>
      <c r="C289" s="116">
        <f t="shared" si="80"/>
        <v>0</v>
      </c>
      <c r="D289" s="117">
        <f t="shared" si="81"/>
        <v>0</v>
      </c>
      <c r="E289" s="116">
        <f t="shared" ref="E289:E300" si="84">IF(A289&gt;$C$3,0,$B$288*($C$5/12))</f>
        <v>0</v>
      </c>
      <c r="F289" s="116">
        <f t="shared" si="75"/>
        <v>0</v>
      </c>
      <c r="G289" s="117">
        <v>0</v>
      </c>
      <c r="H289" s="116">
        <f t="shared" si="82"/>
        <v>0</v>
      </c>
      <c r="I289" s="116">
        <f t="shared" si="76"/>
        <v>0</v>
      </c>
      <c r="J289" s="119">
        <f t="shared" si="77"/>
        <v>0</v>
      </c>
      <c r="K289" s="119">
        <f t="shared" si="78"/>
        <v>0</v>
      </c>
      <c r="L289" s="110"/>
      <c r="M289" s="110"/>
      <c r="N289" s="110"/>
      <c r="O289" s="110"/>
      <c r="P289" s="110"/>
      <c r="Q289" s="110"/>
      <c r="R289" s="110"/>
    </row>
    <row r="290" spans="1:23" x14ac:dyDescent="0.3">
      <c r="A290" s="109">
        <v>266</v>
      </c>
      <c r="B290" s="58">
        <f t="shared" si="79"/>
        <v>0</v>
      </c>
      <c r="C290" s="116">
        <f t="shared" si="80"/>
        <v>0</v>
      </c>
      <c r="D290" s="117">
        <f t="shared" si="81"/>
        <v>0</v>
      </c>
      <c r="E290" s="116">
        <f t="shared" si="84"/>
        <v>0</v>
      </c>
      <c r="F290" s="116">
        <f t="shared" si="75"/>
        <v>0</v>
      </c>
      <c r="G290" s="117">
        <v>0</v>
      </c>
      <c r="H290" s="116">
        <f t="shared" si="82"/>
        <v>0</v>
      </c>
      <c r="I290" s="116">
        <f t="shared" si="76"/>
        <v>0</v>
      </c>
      <c r="J290" s="119">
        <f t="shared" si="77"/>
        <v>0</v>
      </c>
      <c r="K290" s="119">
        <f t="shared" si="78"/>
        <v>0</v>
      </c>
      <c r="L290" s="110"/>
      <c r="M290" s="110"/>
      <c r="N290" s="110"/>
      <c r="O290" s="110"/>
      <c r="P290" s="110"/>
      <c r="Q290" s="110"/>
      <c r="R290" s="110"/>
    </row>
    <row r="291" spans="1:23" x14ac:dyDescent="0.3">
      <c r="A291" s="109">
        <v>267</v>
      </c>
      <c r="B291" s="58">
        <f t="shared" si="79"/>
        <v>0</v>
      </c>
      <c r="C291" s="116">
        <f t="shared" si="80"/>
        <v>0</v>
      </c>
      <c r="D291" s="117">
        <f t="shared" si="81"/>
        <v>0</v>
      </c>
      <c r="E291" s="116">
        <f t="shared" si="84"/>
        <v>0</v>
      </c>
      <c r="F291" s="116">
        <f t="shared" si="75"/>
        <v>0</v>
      </c>
      <c r="G291" s="117">
        <v>0</v>
      </c>
      <c r="H291" s="116">
        <f t="shared" si="82"/>
        <v>0</v>
      </c>
      <c r="I291" s="116">
        <f t="shared" si="76"/>
        <v>0</v>
      </c>
      <c r="J291" s="119">
        <f t="shared" si="77"/>
        <v>0</v>
      </c>
      <c r="K291" s="119">
        <f t="shared" si="78"/>
        <v>0</v>
      </c>
      <c r="L291" s="110"/>
      <c r="M291" s="110"/>
      <c r="N291" s="110"/>
      <c r="O291" s="110"/>
      <c r="P291" s="110"/>
      <c r="Q291" s="110"/>
      <c r="R291" s="110"/>
    </row>
    <row r="292" spans="1:23" x14ac:dyDescent="0.3">
      <c r="A292" s="109">
        <v>268</v>
      </c>
      <c r="B292" s="58">
        <f t="shared" si="79"/>
        <v>0</v>
      </c>
      <c r="C292" s="116">
        <f t="shared" si="80"/>
        <v>0</v>
      </c>
      <c r="D292" s="117">
        <f t="shared" si="81"/>
        <v>0</v>
      </c>
      <c r="E292" s="116">
        <f t="shared" si="84"/>
        <v>0</v>
      </c>
      <c r="F292" s="116">
        <f t="shared" si="75"/>
        <v>0</v>
      </c>
      <c r="G292" s="117">
        <v>0</v>
      </c>
      <c r="H292" s="116">
        <f t="shared" si="82"/>
        <v>0</v>
      </c>
      <c r="I292" s="116">
        <f t="shared" si="76"/>
        <v>0</v>
      </c>
      <c r="J292" s="119">
        <f t="shared" si="77"/>
        <v>0</v>
      </c>
      <c r="K292" s="119">
        <f t="shared" si="78"/>
        <v>0</v>
      </c>
      <c r="L292" s="110"/>
      <c r="M292" s="110"/>
      <c r="N292" s="110"/>
      <c r="O292" s="110"/>
      <c r="P292" s="110"/>
      <c r="Q292" s="110"/>
      <c r="R292" s="110"/>
    </row>
    <row r="293" spans="1:23" x14ac:dyDescent="0.3">
      <c r="A293" s="109">
        <v>269</v>
      </c>
      <c r="B293" s="58">
        <f t="shared" si="79"/>
        <v>0</v>
      </c>
      <c r="C293" s="116">
        <f t="shared" si="80"/>
        <v>0</v>
      </c>
      <c r="D293" s="117">
        <f t="shared" si="81"/>
        <v>0</v>
      </c>
      <c r="E293" s="116">
        <f t="shared" si="84"/>
        <v>0</v>
      </c>
      <c r="F293" s="116">
        <f t="shared" si="75"/>
        <v>0</v>
      </c>
      <c r="G293" s="117">
        <v>0</v>
      </c>
      <c r="H293" s="116">
        <f t="shared" si="82"/>
        <v>0</v>
      </c>
      <c r="I293" s="116">
        <f t="shared" si="76"/>
        <v>0</v>
      </c>
      <c r="J293" s="119">
        <f t="shared" si="77"/>
        <v>0</v>
      </c>
      <c r="K293" s="119">
        <f t="shared" si="78"/>
        <v>0</v>
      </c>
      <c r="L293" s="110"/>
      <c r="M293" s="110"/>
      <c r="N293" s="110"/>
      <c r="O293" s="110"/>
      <c r="P293" s="110"/>
      <c r="Q293" s="110"/>
      <c r="R293" s="110"/>
    </row>
    <row r="294" spans="1:23" x14ac:dyDescent="0.3">
      <c r="A294" s="109">
        <v>270</v>
      </c>
      <c r="B294" s="58">
        <f t="shared" si="79"/>
        <v>0</v>
      </c>
      <c r="C294" s="116">
        <f t="shared" si="80"/>
        <v>0</v>
      </c>
      <c r="D294" s="117">
        <f t="shared" si="81"/>
        <v>0</v>
      </c>
      <c r="E294" s="116">
        <f t="shared" si="84"/>
        <v>0</v>
      </c>
      <c r="F294" s="116">
        <f t="shared" si="75"/>
        <v>0</v>
      </c>
      <c r="G294" s="117">
        <v>0</v>
      </c>
      <c r="H294" s="116">
        <f t="shared" si="82"/>
        <v>0</v>
      </c>
      <c r="I294" s="116">
        <f t="shared" si="76"/>
        <v>0</v>
      </c>
      <c r="J294" s="119">
        <f t="shared" si="77"/>
        <v>0</v>
      </c>
      <c r="K294" s="119">
        <f t="shared" si="78"/>
        <v>0</v>
      </c>
      <c r="L294" s="110"/>
      <c r="M294" s="110"/>
      <c r="N294" s="110"/>
      <c r="O294" s="110"/>
      <c r="P294" s="110"/>
      <c r="Q294" s="110"/>
      <c r="R294" s="110"/>
    </row>
    <row r="295" spans="1:23" x14ac:dyDescent="0.3">
      <c r="A295" s="109">
        <v>271</v>
      </c>
      <c r="B295" s="58">
        <f t="shared" si="79"/>
        <v>0</v>
      </c>
      <c r="C295" s="116">
        <f t="shared" si="80"/>
        <v>0</v>
      </c>
      <c r="D295" s="117">
        <f t="shared" si="81"/>
        <v>0</v>
      </c>
      <c r="E295" s="116">
        <f t="shared" si="84"/>
        <v>0</v>
      </c>
      <c r="F295" s="116">
        <f t="shared" si="75"/>
        <v>0</v>
      </c>
      <c r="G295" s="117">
        <v>0</v>
      </c>
      <c r="H295" s="116">
        <f t="shared" si="82"/>
        <v>0</v>
      </c>
      <c r="I295" s="116">
        <f t="shared" si="76"/>
        <v>0</v>
      </c>
      <c r="J295" s="119">
        <f t="shared" si="77"/>
        <v>0</v>
      </c>
      <c r="K295" s="119">
        <f t="shared" si="78"/>
        <v>0</v>
      </c>
      <c r="L295" s="110"/>
      <c r="M295" s="110"/>
      <c r="N295" s="110"/>
      <c r="O295" s="110"/>
      <c r="P295" s="110"/>
      <c r="Q295" s="110"/>
      <c r="R295" s="110"/>
    </row>
    <row r="296" spans="1:23" x14ac:dyDescent="0.3">
      <c r="A296" s="109">
        <v>272</v>
      </c>
      <c r="B296" s="58">
        <f t="shared" si="79"/>
        <v>0</v>
      </c>
      <c r="C296" s="116">
        <f t="shared" si="80"/>
        <v>0</v>
      </c>
      <c r="D296" s="117">
        <f t="shared" si="81"/>
        <v>0</v>
      </c>
      <c r="E296" s="116">
        <f t="shared" si="84"/>
        <v>0</v>
      </c>
      <c r="F296" s="116">
        <f t="shared" si="75"/>
        <v>0</v>
      </c>
      <c r="G296" s="117">
        <v>0</v>
      </c>
      <c r="H296" s="116">
        <f t="shared" si="82"/>
        <v>0</v>
      </c>
      <c r="I296" s="116">
        <f t="shared" si="76"/>
        <v>0</v>
      </c>
      <c r="J296" s="119">
        <f t="shared" si="77"/>
        <v>0</v>
      </c>
      <c r="K296" s="119">
        <f t="shared" si="78"/>
        <v>0</v>
      </c>
      <c r="L296" s="110"/>
      <c r="M296" s="110"/>
      <c r="N296" s="110"/>
      <c r="O296" s="110"/>
      <c r="P296" s="110"/>
      <c r="Q296" s="110"/>
      <c r="R296" s="110"/>
    </row>
    <row r="297" spans="1:23" x14ac:dyDescent="0.3">
      <c r="A297" s="109">
        <v>273</v>
      </c>
      <c r="B297" s="58">
        <f t="shared" si="79"/>
        <v>0</v>
      </c>
      <c r="C297" s="116">
        <f t="shared" si="80"/>
        <v>0</v>
      </c>
      <c r="D297" s="117">
        <f t="shared" si="81"/>
        <v>0</v>
      </c>
      <c r="E297" s="116">
        <f t="shared" si="84"/>
        <v>0</v>
      </c>
      <c r="F297" s="116">
        <f t="shared" si="75"/>
        <v>0</v>
      </c>
      <c r="G297" s="117">
        <v>0</v>
      </c>
      <c r="H297" s="116">
        <f t="shared" si="82"/>
        <v>0</v>
      </c>
      <c r="I297" s="116">
        <f t="shared" si="76"/>
        <v>0</v>
      </c>
      <c r="J297" s="119">
        <f t="shared" si="77"/>
        <v>0</v>
      </c>
      <c r="K297" s="119">
        <f t="shared" si="78"/>
        <v>0</v>
      </c>
      <c r="L297" s="110"/>
      <c r="M297" s="110"/>
      <c r="N297" s="110"/>
      <c r="O297" s="110"/>
      <c r="P297" s="110"/>
      <c r="Q297" s="110"/>
      <c r="R297" s="110"/>
    </row>
    <row r="298" spans="1:23" x14ac:dyDescent="0.3">
      <c r="A298" s="109">
        <v>274</v>
      </c>
      <c r="B298" s="58">
        <f t="shared" si="79"/>
        <v>0</v>
      </c>
      <c r="C298" s="116">
        <f t="shared" si="80"/>
        <v>0</v>
      </c>
      <c r="D298" s="117">
        <f t="shared" si="81"/>
        <v>0</v>
      </c>
      <c r="E298" s="116">
        <f t="shared" si="84"/>
        <v>0</v>
      </c>
      <c r="F298" s="116">
        <f t="shared" si="75"/>
        <v>0</v>
      </c>
      <c r="G298" s="117">
        <v>0</v>
      </c>
      <c r="H298" s="116">
        <f t="shared" si="82"/>
        <v>0</v>
      </c>
      <c r="I298" s="116">
        <f t="shared" si="76"/>
        <v>0</v>
      </c>
      <c r="J298" s="119">
        <f t="shared" si="77"/>
        <v>0</v>
      </c>
      <c r="K298" s="119">
        <f t="shared" si="78"/>
        <v>0</v>
      </c>
      <c r="L298" s="110"/>
      <c r="M298" s="110"/>
      <c r="N298" s="110"/>
      <c r="O298" s="110"/>
      <c r="P298" s="110"/>
      <c r="Q298" s="110"/>
      <c r="R298" s="110"/>
    </row>
    <row r="299" spans="1:23" x14ac:dyDescent="0.3">
      <c r="A299" s="109">
        <v>275</v>
      </c>
      <c r="B299" s="58">
        <f t="shared" si="79"/>
        <v>0</v>
      </c>
      <c r="C299" s="116">
        <f t="shared" si="80"/>
        <v>0</v>
      </c>
      <c r="D299" s="117">
        <f t="shared" si="81"/>
        <v>0</v>
      </c>
      <c r="E299" s="116">
        <f t="shared" si="84"/>
        <v>0</v>
      </c>
      <c r="F299" s="116">
        <f t="shared" si="75"/>
        <v>0</v>
      </c>
      <c r="G299" s="117">
        <v>0</v>
      </c>
      <c r="H299" s="116">
        <f t="shared" si="82"/>
        <v>0</v>
      </c>
      <c r="I299" s="116">
        <f t="shared" si="76"/>
        <v>0</v>
      </c>
      <c r="J299" s="119">
        <f t="shared" si="77"/>
        <v>0</v>
      </c>
      <c r="K299" s="119">
        <f t="shared" si="78"/>
        <v>0</v>
      </c>
      <c r="L299" s="110"/>
      <c r="M299" s="110"/>
      <c r="N299" s="110"/>
      <c r="O299" s="110"/>
      <c r="P299" s="110"/>
      <c r="Q299" s="110"/>
      <c r="R299" s="110"/>
    </row>
    <row r="300" spans="1:23" x14ac:dyDescent="0.3">
      <c r="A300" s="109">
        <v>276</v>
      </c>
      <c r="B300" s="58">
        <f t="shared" si="79"/>
        <v>0</v>
      </c>
      <c r="C300" s="116">
        <f t="shared" si="80"/>
        <v>0</v>
      </c>
      <c r="D300" s="117">
        <f t="shared" si="81"/>
        <v>0</v>
      </c>
      <c r="E300" s="116">
        <f t="shared" si="84"/>
        <v>0</v>
      </c>
      <c r="F300" s="116">
        <f t="shared" si="75"/>
        <v>0</v>
      </c>
      <c r="G300" s="117">
        <v>0</v>
      </c>
      <c r="H300" s="116">
        <f t="shared" si="82"/>
        <v>0</v>
      </c>
      <c r="I300" s="116">
        <f t="shared" si="76"/>
        <v>0</v>
      </c>
      <c r="J300" s="119">
        <f t="shared" si="77"/>
        <v>0</v>
      </c>
      <c r="K300" s="119">
        <f t="shared" si="78"/>
        <v>0</v>
      </c>
      <c r="L300" s="58">
        <f t="shared" ref="L300:Q300" si="85">SUM(C289:C300)</f>
        <v>0</v>
      </c>
      <c r="M300" s="58">
        <f t="shared" si="85"/>
        <v>0</v>
      </c>
      <c r="N300" s="58">
        <f t="shared" si="85"/>
        <v>0</v>
      </c>
      <c r="O300" s="58">
        <f t="shared" si="85"/>
        <v>0</v>
      </c>
      <c r="P300" s="58">
        <f t="shared" si="85"/>
        <v>0</v>
      </c>
      <c r="Q300" s="58">
        <f t="shared" si="85"/>
        <v>0</v>
      </c>
      <c r="R300" s="58">
        <f>SUM(J289:J300)</f>
        <v>0</v>
      </c>
      <c r="S300" s="29">
        <f>SUM(K289:K300)</f>
        <v>0</v>
      </c>
      <c r="T300" s="29"/>
      <c r="U300" s="29"/>
      <c r="V300" s="29"/>
      <c r="W300" s="29"/>
    </row>
    <row r="301" spans="1:23" x14ac:dyDescent="0.3">
      <c r="A301" s="109">
        <v>277</v>
      </c>
      <c r="B301" s="58">
        <f t="shared" si="79"/>
        <v>0</v>
      </c>
      <c r="C301" s="116">
        <f t="shared" si="80"/>
        <v>0</v>
      </c>
      <c r="D301" s="117">
        <f t="shared" si="81"/>
        <v>0</v>
      </c>
      <c r="E301" s="116">
        <f t="shared" ref="E301:E312" si="86">IF(A301&gt;$C$3,0,$B$300*($C$5/12))</f>
        <v>0</v>
      </c>
      <c r="F301" s="116">
        <f t="shared" si="75"/>
        <v>0</v>
      </c>
      <c r="G301" s="117">
        <v>0</v>
      </c>
      <c r="H301" s="116">
        <f t="shared" si="82"/>
        <v>0</v>
      </c>
      <c r="I301" s="116">
        <f t="shared" si="76"/>
        <v>0</v>
      </c>
      <c r="J301" s="119">
        <f t="shared" si="77"/>
        <v>0</v>
      </c>
      <c r="K301" s="119">
        <f t="shared" si="78"/>
        <v>0</v>
      </c>
      <c r="L301" s="110"/>
      <c r="M301" s="110"/>
      <c r="N301" s="110"/>
      <c r="O301" s="110"/>
      <c r="P301" s="110"/>
      <c r="Q301" s="110"/>
      <c r="R301" s="110"/>
    </row>
    <row r="302" spans="1:23" x14ac:dyDescent="0.3">
      <c r="A302" s="109">
        <v>278</v>
      </c>
      <c r="B302" s="58">
        <f t="shared" si="79"/>
        <v>0</v>
      </c>
      <c r="C302" s="116">
        <f t="shared" si="80"/>
        <v>0</v>
      </c>
      <c r="D302" s="117">
        <f t="shared" si="81"/>
        <v>0</v>
      </c>
      <c r="E302" s="116">
        <f t="shared" si="86"/>
        <v>0</v>
      </c>
      <c r="F302" s="116">
        <f t="shared" si="75"/>
        <v>0</v>
      </c>
      <c r="G302" s="117">
        <v>0</v>
      </c>
      <c r="H302" s="116">
        <f t="shared" si="82"/>
        <v>0</v>
      </c>
      <c r="I302" s="116">
        <f t="shared" si="76"/>
        <v>0</v>
      </c>
      <c r="J302" s="119">
        <f t="shared" si="77"/>
        <v>0</v>
      </c>
      <c r="K302" s="119">
        <f t="shared" si="78"/>
        <v>0</v>
      </c>
      <c r="L302" s="110"/>
      <c r="M302" s="110"/>
      <c r="N302" s="110"/>
      <c r="O302" s="110"/>
      <c r="P302" s="110"/>
      <c r="Q302" s="110"/>
      <c r="R302" s="110"/>
    </row>
    <row r="303" spans="1:23" x14ac:dyDescent="0.3">
      <c r="A303" s="109">
        <v>279</v>
      </c>
      <c r="B303" s="58">
        <f t="shared" si="79"/>
        <v>0</v>
      </c>
      <c r="C303" s="116">
        <f t="shared" si="80"/>
        <v>0</v>
      </c>
      <c r="D303" s="117">
        <f t="shared" si="81"/>
        <v>0</v>
      </c>
      <c r="E303" s="116">
        <f t="shared" si="86"/>
        <v>0</v>
      </c>
      <c r="F303" s="116">
        <f t="shared" si="75"/>
        <v>0</v>
      </c>
      <c r="G303" s="117">
        <v>0</v>
      </c>
      <c r="H303" s="116">
        <f t="shared" si="82"/>
        <v>0</v>
      </c>
      <c r="I303" s="116">
        <f t="shared" si="76"/>
        <v>0</v>
      </c>
      <c r="J303" s="119">
        <f t="shared" si="77"/>
        <v>0</v>
      </c>
      <c r="K303" s="119">
        <f t="shared" si="78"/>
        <v>0</v>
      </c>
      <c r="L303" s="110"/>
      <c r="M303" s="110"/>
      <c r="N303" s="110"/>
      <c r="O303" s="110"/>
      <c r="P303" s="110"/>
      <c r="Q303" s="110"/>
      <c r="R303" s="110"/>
    </row>
    <row r="304" spans="1:23" x14ac:dyDescent="0.3">
      <c r="A304" s="109">
        <v>280</v>
      </c>
      <c r="B304" s="58">
        <f t="shared" si="79"/>
        <v>0</v>
      </c>
      <c r="C304" s="116">
        <f t="shared" si="80"/>
        <v>0</v>
      </c>
      <c r="D304" s="117">
        <f t="shared" si="81"/>
        <v>0</v>
      </c>
      <c r="E304" s="116">
        <f t="shared" si="86"/>
        <v>0</v>
      </c>
      <c r="F304" s="116">
        <f t="shared" si="75"/>
        <v>0</v>
      </c>
      <c r="G304" s="117">
        <v>0</v>
      </c>
      <c r="H304" s="116">
        <f t="shared" si="82"/>
        <v>0</v>
      </c>
      <c r="I304" s="116">
        <f t="shared" si="76"/>
        <v>0</v>
      </c>
      <c r="J304" s="119">
        <f t="shared" si="77"/>
        <v>0</v>
      </c>
      <c r="K304" s="119">
        <f t="shared" si="78"/>
        <v>0</v>
      </c>
      <c r="L304" s="110"/>
      <c r="M304" s="110"/>
      <c r="N304" s="110"/>
      <c r="O304" s="110"/>
      <c r="P304" s="110"/>
      <c r="Q304" s="110"/>
      <c r="R304" s="110"/>
    </row>
    <row r="305" spans="1:23" x14ac:dyDescent="0.3">
      <c r="A305" s="109">
        <v>281</v>
      </c>
      <c r="B305" s="58">
        <f t="shared" si="79"/>
        <v>0</v>
      </c>
      <c r="C305" s="116">
        <f t="shared" si="80"/>
        <v>0</v>
      </c>
      <c r="D305" s="117">
        <f t="shared" si="81"/>
        <v>0</v>
      </c>
      <c r="E305" s="116">
        <f t="shared" si="86"/>
        <v>0</v>
      </c>
      <c r="F305" s="116">
        <f t="shared" si="75"/>
        <v>0</v>
      </c>
      <c r="G305" s="117">
        <v>0</v>
      </c>
      <c r="H305" s="116">
        <f t="shared" si="82"/>
        <v>0</v>
      </c>
      <c r="I305" s="116">
        <f t="shared" si="76"/>
        <v>0</v>
      </c>
      <c r="J305" s="119">
        <f t="shared" si="77"/>
        <v>0</v>
      </c>
      <c r="K305" s="119">
        <f t="shared" si="78"/>
        <v>0</v>
      </c>
      <c r="L305" s="110"/>
      <c r="M305" s="110"/>
      <c r="N305" s="110"/>
      <c r="O305" s="110"/>
      <c r="P305" s="110"/>
      <c r="Q305" s="110"/>
      <c r="R305" s="110"/>
    </row>
    <row r="306" spans="1:23" x14ac:dyDescent="0.3">
      <c r="A306" s="109">
        <v>282</v>
      </c>
      <c r="B306" s="58">
        <f t="shared" si="79"/>
        <v>0</v>
      </c>
      <c r="C306" s="116">
        <f t="shared" si="80"/>
        <v>0</v>
      </c>
      <c r="D306" s="117">
        <f t="shared" si="81"/>
        <v>0</v>
      </c>
      <c r="E306" s="116">
        <f t="shared" si="86"/>
        <v>0</v>
      </c>
      <c r="F306" s="116">
        <f t="shared" si="75"/>
        <v>0</v>
      </c>
      <c r="G306" s="117">
        <v>0</v>
      </c>
      <c r="H306" s="116">
        <f t="shared" si="82"/>
        <v>0</v>
      </c>
      <c r="I306" s="116">
        <f t="shared" si="76"/>
        <v>0</v>
      </c>
      <c r="J306" s="119">
        <f t="shared" si="77"/>
        <v>0</v>
      </c>
      <c r="K306" s="119">
        <f t="shared" si="78"/>
        <v>0</v>
      </c>
      <c r="L306" s="110"/>
      <c r="M306" s="110"/>
      <c r="N306" s="110"/>
      <c r="O306" s="110"/>
      <c r="P306" s="110"/>
      <c r="Q306" s="110"/>
      <c r="R306" s="110"/>
    </row>
    <row r="307" spans="1:23" x14ac:dyDescent="0.3">
      <c r="A307" s="109">
        <v>283</v>
      </c>
      <c r="B307" s="58">
        <f t="shared" si="79"/>
        <v>0</v>
      </c>
      <c r="C307" s="116">
        <f t="shared" si="80"/>
        <v>0</v>
      </c>
      <c r="D307" s="117">
        <f t="shared" si="81"/>
        <v>0</v>
      </c>
      <c r="E307" s="116">
        <f t="shared" si="86"/>
        <v>0</v>
      </c>
      <c r="F307" s="116">
        <f t="shared" si="75"/>
        <v>0</v>
      </c>
      <c r="G307" s="117">
        <v>0</v>
      </c>
      <c r="H307" s="116">
        <f t="shared" si="82"/>
        <v>0</v>
      </c>
      <c r="I307" s="116">
        <f t="shared" si="76"/>
        <v>0</v>
      </c>
      <c r="J307" s="119">
        <f t="shared" si="77"/>
        <v>0</v>
      </c>
      <c r="K307" s="119">
        <f t="shared" si="78"/>
        <v>0</v>
      </c>
      <c r="L307" s="110"/>
      <c r="M307" s="110"/>
      <c r="N307" s="110"/>
      <c r="O307" s="110"/>
      <c r="P307" s="110"/>
      <c r="Q307" s="110"/>
      <c r="R307" s="110"/>
    </row>
    <row r="308" spans="1:23" x14ac:dyDescent="0.3">
      <c r="A308" s="109">
        <v>284</v>
      </c>
      <c r="B308" s="58">
        <f t="shared" si="79"/>
        <v>0</v>
      </c>
      <c r="C308" s="116">
        <f t="shared" si="80"/>
        <v>0</v>
      </c>
      <c r="D308" s="117">
        <f t="shared" si="81"/>
        <v>0</v>
      </c>
      <c r="E308" s="116">
        <f t="shared" si="86"/>
        <v>0</v>
      </c>
      <c r="F308" s="116">
        <f t="shared" si="75"/>
        <v>0</v>
      </c>
      <c r="G308" s="117">
        <v>0</v>
      </c>
      <c r="H308" s="116">
        <f t="shared" si="82"/>
        <v>0</v>
      </c>
      <c r="I308" s="116">
        <f t="shared" si="76"/>
        <v>0</v>
      </c>
      <c r="J308" s="119">
        <f t="shared" si="77"/>
        <v>0</v>
      </c>
      <c r="K308" s="119">
        <f t="shared" si="78"/>
        <v>0</v>
      </c>
      <c r="L308" s="110"/>
      <c r="M308" s="110"/>
      <c r="N308" s="110"/>
      <c r="O308" s="110"/>
      <c r="P308" s="110"/>
      <c r="Q308" s="110"/>
      <c r="R308" s="110"/>
    </row>
    <row r="309" spans="1:23" x14ac:dyDescent="0.3">
      <c r="A309" s="109">
        <v>285</v>
      </c>
      <c r="B309" s="58">
        <f t="shared" si="79"/>
        <v>0</v>
      </c>
      <c r="C309" s="116">
        <f t="shared" si="80"/>
        <v>0</v>
      </c>
      <c r="D309" s="117">
        <f t="shared" si="81"/>
        <v>0</v>
      </c>
      <c r="E309" s="116">
        <f t="shared" si="86"/>
        <v>0</v>
      </c>
      <c r="F309" s="116">
        <f t="shared" si="75"/>
        <v>0</v>
      </c>
      <c r="G309" s="117">
        <v>0</v>
      </c>
      <c r="H309" s="116">
        <f t="shared" si="82"/>
        <v>0</v>
      </c>
      <c r="I309" s="116">
        <f t="shared" si="76"/>
        <v>0</v>
      </c>
      <c r="J309" s="119">
        <f t="shared" si="77"/>
        <v>0</v>
      </c>
      <c r="K309" s="119">
        <f t="shared" si="78"/>
        <v>0</v>
      </c>
      <c r="L309" s="110"/>
      <c r="M309" s="110"/>
      <c r="N309" s="110"/>
      <c r="O309" s="110"/>
      <c r="P309" s="110"/>
      <c r="Q309" s="110"/>
      <c r="R309" s="110"/>
    </row>
    <row r="310" spans="1:23" x14ac:dyDescent="0.3">
      <c r="A310" s="109">
        <v>286</v>
      </c>
      <c r="B310" s="58">
        <f t="shared" si="79"/>
        <v>0</v>
      </c>
      <c r="C310" s="116">
        <f t="shared" si="80"/>
        <v>0</v>
      </c>
      <c r="D310" s="117">
        <f t="shared" si="81"/>
        <v>0</v>
      </c>
      <c r="E310" s="116">
        <f t="shared" si="86"/>
        <v>0</v>
      </c>
      <c r="F310" s="116">
        <f t="shared" si="75"/>
        <v>0</v>
      </c>
      <c r="G310" s="117">
        <v>0</v>
      </c>
      <c r="H310" s="116">
        <f t="shared" si="82"/>
        <v>0</v>
      </c>
      <c r="I310" s="116">
        <f t="shared" si="76"/>
        <v>0</v>
      </c>
      <c r="J310" s="119">
        <f t="shared" si="77"/>
        <v>0</v>
      </c>
      <c r="K310" s="119">
        <f t="shared" si="78"/>
        <v>0</v>
      </c>
      <c r="L310" s="110"/>
      <c r="M310" s="110"/>
      <c r="N310" s="110"/>
      <c r="O310" s="110"/>
      <c r="P310" s="110"/>
      <c r="Q310" s="110"/>
      <c r="R310" s="110"/>
    </row>
    <row r="311" spans="1:23" x14ac:dyDescent="0.3">
      <c r="A311" s="109">
        <v>287</v>
      </c>
      <c r="B311" s="58">
        <f t="shared" si="79"/>
        <v>0</v>
      </c>
      <c r="C311" s="116">
        <f t="shared" si="80"/>
        <v>0</v>
      </c>
      <c r="D311" s="117">
        <f t="shared" si="81"/>
        <v>0</v>
      </c>
      <c r="E311" s="116">
        <f t="shared" si="86"/>
        <v>0</v>
      </c>
      <c r="F311" s="116">
        <f t="shared" si="75"/>
        <v>0</v>
      </c>
      <c r="G311" s="117">
        <v>0</v>
      </c>
      <c r="H311" s="116">
        <f t="shared" si="82"/>
        <v>0</v>
      </c>
      <c r="I311" s="116">
        <f t="shared" si="76"/>
        <v>0</v>
      </c>
      <c r="J311" s="119">
        <f t="shared" si="77"/>
        <v>0</v>
      </c>
      <c r="K311" s="119">
        <f t="shared" si="78"/>
        <v>0</v>
      </c>
      <c r="L311" s="110"/>
      <c r="M311" s="110"/>
      <c r="N311" s="110"/>
      <c r="O311" s="110"/>
      <c r="P311" s="110"/>
      <c r="Q311" s="110"/>
      <c r="R311" s="110"/>
    </row>
    <row r="312" spans="1:23" x14ac:dyDescent="0.3">
      <c r="A312" s="109">
        <v>288</v>
      </c>
      <c r="B312" s="58">
        <f t="shared" si="79"/>
        <v>0</v>
      </c>
      <c r="C312" s="116">
        <f t="shared" si="80"/>
        <v>0</v>
      </c>
      <c r="D312" s="117">
        <f t="shared" si="81"/>
        <v>0</v>
      </c>
      <c r="E312" s="116">
        <f t="shared" si="86"/>
        <v>0</v>
      </c>
      <c r="F312" s="116">
        <f t="shared" si="75"/>
        <v>0</v>
      </c>
      <c r="G312" s="117">
        <v>0</v>
      </c>
      <c r="H312" s="116">
        <f t="shared" si="82"/>
        <v>0</v>
      </c>
      <c r="I312" s="116">
        <f t="shared" si="76"/>
        <v>0</v>
      </c>
      <c r="J312" s="119">
        <f t="shared" si="77"/>
        <v>0</v>
      </c>
      <c r="K312" s="119">
        <f t="shared" si="78"/>
        <v>0</v>
      </c>
      <c r="L312" s="58">
        <f t="shared" ref="L312:Q312" si="87">SUM(C301:C312)</f>
        <v>0</v>
      </c>
      <c r="M312" s="58">
        <f t="shared" si="87"/>
        <v>0</v>
      </c>
      <c r="N312" s="58">
        <f t="shared" si="87"/>
        <v>0</v>
      </c>
      <c r="O312" s="58">
        <f t="shared" si="87"/>
        <v>0</v>
      </c>
      <c r="P312" s="58">
        <f t="shared" si="87"/>
        <v>0</v>
      </c>
      <c r="Q312" s="58">
        <f t="shared" si="87"/>
        <v>0</v>
      </c>
      <c r="R312" s="58">
        <f>SUM(J301:J312)</f>
        <v>0</v>
      </c>
      <c r="S312" s="29">
        <f>SUM(K301:K312)</f>
        <v>0</v>
      </c>
      <c r="T312" s="29"/>
      <c r="U312" s="29"/>
      <c r="V312" s="29"/>
      <c r="W312" s="29"/>
    </row>
    <row r="313" spans="1:23" x14ac:dyDescent="0.3">
      <c r="A313" s="109">
        <v>289</v>
      </c>
      <c r="B313" s="58">
        <f t="shared" si="79"/>
        <v>0</v>
      </c>
      <c r="C313" s="116">
        <f t="shared" si="80"/>
        <v>0</v>
      </c>
      <c r="D313" s="117">
        <f t="shared" si="81"/>
        <v>0</v>
      </c>
      <c r="E313" s="116">
        <f t="shared" ref="E313:E324" si="88">IF(A313&gt;$C$3,0,$B$312*($C$5/12))</f>
        <v>0</v>
      </c>
      <c r="F313" s="116">
        <f t="shared" si="75"/>
        <v>0</v>
      </c>
      <c r="G313" s="117">
        <v>0</v>
      </c>
      <c r="H313" s="116">
        <f t="shared" si="82"/>
        <v>0</v>
      </c>
      <c r="I313" s="116">
        <f t="shared" si="76"/>
        <v>0</v>
      </c>
      <c r="J313" s="119">
        <f t="shared" si="77"/>
        <v>0</v>
      </c>
      <c r="K313" s="119">
        <f t="shared" si="78"/>
        <v>0</v>
      </c>
      <c r="L313" s="110"/>
      <c r="M313" s="110"/>
      <c r="N313" s="110"/>
      <c r="O313" s="110"/>
      <c r="P313" s="110"/>
      <c r="Q313" s="110"/>
      <c r="R313" s="110"/>
    </row>
    <row r="314" spans="1:23" x14ac:dyDescent="0.3">
      <c r="A314" s="109">
        <v>290</v>
      </c>
      <c r="B314" s="58">
        <f t="shared" si="79"/>
        <v>0</v>
      </c>
      <c r="C314" s="116">
        <f t="shared" si="80"/>
        <v>0</v>
      </c>
      <c r="D314" s="117">
        <f t="shared" si="81"/>
        <v>0</v>
      </c>
      <c r="E314" s="116">
        <f t="shared" si="88"/>
        <v>0</v>
      </c>
      <c r="F314" s="116">
        <f t="shared" si="75"/>
        <v>0</v>
      </c>
      <c r="G314" s="117">
        <v>0</v>
      </c>
      <c r="H314" s="116">
        <f t="shared" si="82"/>
        <v>0</v>
      </c>
      <c r="I314" s="116">
        <f t="shared" si="76"/>
        <v>0</v>
      </c>
      <c r="J314" s="119">
        <f t="shared" si="77"/>
        <v>0</v>
      </c>
      <c r="K314" s="119">
        <f t="shared" si="78"/>
        <v>0</v>
      </c>
      <c r="L314" s="110"/>
      <c r="M314" s="110"/>
      <c r="N314" s="110"/>
      <c r="O314" s="110"/>
      <c r="P314" s="110"/>
      <c r="Q314" s="110"/>
      <c r="R314" s="110"/>
    </row>
    <row r="315" spans="1:23" x14ac:dyDescent="0.3">
      <c r="A315" s="109">
        <v>291</v>
      </c>
      <c r="B315" s="58">
        <f t="shared" si="79"/>
        <v>0</v>
      </c>
      <c r="C315" s="116">
        <f t="shared" si="80"/>
        <v>0</v>
      </c>
      <c r="D315" s="117">
        <f t="shared" si="81"/>
        <v>0</v>
      </c>
      <c r="E315" s="116">
        <f t="shared" si="88"/>
        <v>0</v>
      </c>
      <c r="F315" s="116">
        <f t="shared" si="75"/>
        <v>0</v>
      </c>
      <c r="G315" s="117">
        <v>0</v>
      </c>
      <c r="H315" s="116">
        <f t="shared" si="82"/>
        <v>0</v>
      </c>
      <c r="I315" s="116">
        <f t="shared" si="76"/>
        <v>0</v>
      </c>
      <c r="J315" s="119">
        <f t="shared" si="77"/>
        <v>0</v>
      </c>
      <c r="K315" s="119">
        <f t="shared" si="78"/>
        <v>0</v>
      </c>
      <c r="L315" s="110"/>
      <c r="M315" s="110"/>
      <c r="N315" s="110"/>
      <c r="O315" s="110"/>
      <c r="P315" s="110"/>
      <c r="Q315" s="110"/>
      <c r="R315" s="110"/>
    </row>
    <row r="316" spans="1:23" x14ac:dyDescent="0.3">
      <c r="A316" s="109">
        <v>292</v>
      </c>
      <c r="B316" s="58">
        <f t="shared" si="79"/>
        <v>0</v>
      </c>
      <c r="C316" s="116">
        <f t="shared" si="80"/>
        <v>0</v>
      </c>
      <c r="D316" s="117">
        <f t="shared" si="81"/>
        <v>0</v>
      </c>
      <c r="E316" s="116">
        <f t="shared" si="88"/>
        <v>0</v>
      </c>
      <c r="F316" s="116">
        <f t="shared" si="75"/>
        <v>0</v>
      </c>
      <c r="G316" s="117">
        <v>0</v>
      </c>
      <c r="H316" s="116">
        <f t="shared" si="82"/>
        <v>0</v>
      </c>
      <c r="I316" s="116">
        <f t="shared" si="76"/>
        <v>0</v>
      </c>
      <c r="J316" s="119">
        <f t="shared" si="77"/>
        <v>0</v>
      </c>
      <c r="K316" s="119">
        <f t="shared" si="78"/>
        <v>0</v>
      </c>
      <c r="L316" s="110"/>
      <c r="M316" s="110"/>
      <c r="N316" s="110"/>
      <c r="O316" s="110"/>
      <c r="P316" s="110"/>
      <c r="Q316" s="110"/>
      <c r="R316" s="110"/>
    </row>
    <row r="317" spans="1:23" x14ac:dyDescent="0.3">
      <c r="A317" s="109">
        <v>293</v>
      </c>
      <c r="B317" s="58">
        <f t="shared" si="79"/>
        <v>0</v>
      </c>
      <c r="C317" s="116">
        <f t="shared" si="80"/>
        <v>0</v>
      </c>
      <c r="D317" s="117">
        <f t="shared" si="81"/>
        <v>0</v>
      </c>
      <c r="E317" s="116">
        <f t="shared" si="88"/>
        <v>0</v>
      </c>
      <c r="F317" s="116">
        <f t="shared" si="75"/>
        <v>0</v>
      </c>
      <c r="G317" s="117">
        <v>0</v>
      </c>
      <c r="H317" s="116">
        <f t="shared" si="82"/>
        <v>0</v>
      </c>
      <c r="I317" s="116">
        <f t="shared" si="76"/>
        <v>0</v>
      </c>
      <c r="J317" s="119">
        <f t="shared" si="77"/>
        <v>0</v>
      </c>
      <c r="K317" s="119">
        <f t="shared" si="78"/>
        <v>0</v>
      </c>
      <c r="L317" s="110"/>
      <c r="M317" s="110"/>
      <c r="N317" s="110"/>
      <c r="O317" s="110"/>
      <c r="P317" s="110"/>
      <c r="Q317" s="110"/>
      <c r="R317" s="110"/>
    </row>
    <row r="318" spans="1:23" x14ac:dyDescent="0.3">
      <c r="A318" s="109">
        <v>294</v>
      </c>
      <c r="B318" s="58">
        <f t="shared" si="79"/>
        <v>0</v>
      </c>
      <c r="C318" s="116">
        <f t="shared" si="80"/>
        <v>0</v>
      </c>
      <c r="D318" s="117">
        <f t="shared" si="81"/>
        <v>0</v>
      </c>
      <c r="E318" s="116">
        <f t="shared" si="88"/>
        <v>0</v>
      </c>
      <c r="F318" s="116">
        <f t="shared" si="75"/>
        <v>0</v>
      </c>
      <c r="G318" s="117">
        <v>0</v>
      </c>
      <c r="H318" s="116">
        <f t="shared" si="82"/>
        <v>0</v>
      </c>
      <c r="I318" s="116">
        <f t="shared" si="76"/>
        <v>0</v>
      </c>
      <c r="J318" s="119">
        <f t="shared" si="77"/>
        <v>0</v>
      </c>
      <c r="K318" s="119">
        <f t="shared" si="78"/>
        <v>0</v>
      </c>
      <c r="L318" s="110"/>
      <c r="M318" s="110"/>
      <c r="N318" s="110"/>
      <c r="O318" s="110"/>
      <c r="P318" s="110"/>
      <c r="Q318" s="110"/>
      <c r="R318" s="110"/>
    </row>
    <row r="319" spans="1:23" x14ac:dyDescent="0.3">
      <c r="A319" s="109">
        <v>295</v>
      </c>
      <c r="B319" s="58">
        <f t="shared" si="79"/>
        <v>0</v>
      </c>
      <c r="C319" s="116">
        <f t="shared" si="80"/>
        <v>0</v>
      </c>
      <c r="D319" s="117">
        <f t="shared" si="81"/>
        <v>0</v>
      </c>
      <c r="E319" s="116">
        <f t="shared" si="88"/>
        <v>0</v>
      </c>
      <c r="F319" s="116">
        <f t="shared" si="75"/>
        <v>0</v>
      </c>
      <c r="G319" s="117">
        <v>0</v>
      </c>
      <c r="H319" s="116">
        <f t="shared" si="82"/>
        <v>0</v>
      </c>
      <c r="I319" s="116">
        <f t="shared" si="76"/>
        <v>0</v>
      </c>
      <c r="J319" s="119">
        <f t="shared" si="77"/>
        <v>0</v>
      </c>
      <c r="K319" s="119">
        <f t="shared" si="78"/>
        <v>0</v>
      </c>
      <c r="L319" s="110"/>
      <c r="M319" s="110"/>
      <c r="N319" s="110"/>
      <c r="O319" s="110"/>
      <c r="P319" s="110"/>
      <c r="Q319" s="110"/>
      <c r="R319" s="110"/>
    </row>
    <row r="320" spans="1:23" x14ac:dyDescent="0.3">
      <c r="A320" s="109">
        <v>296</v>
      </c>
      <c r="B320" s="58">
        <f t="shared" si="79"/>
        <v>0</v>
      </c>
      <c r="C320" s="116">
        <f t="shared" si="80"/>
        <v>0</v>
      </c>
      <c r="D320" s="117">
        <f t="shared" si="81"/>
        <v>0</v>
      </c>
      <c r="E320" s="116">
        <f t="shared" si="88"/>
        <v>0</v>
      </c>
      <c r="F320" s="116">
        <f t="shared" si="75"/>
        <v>0</v>
      </c>
      <c r="G320" s="117">
        <v>0</v>
      </c>
      <c r="H320" s="116">
        <f t="shared" si="82"/>
        <v>0</v>
      </c>
      <c r="I320" s="116">
        <f t="shared" si="76"/>
        <v>0</v>
      </c>
      <c r="J320" s="119">
        <f t="shared" si="77"/>
        <v>0</v>
      </c>
      <c r="K320" s="119">
        <f t="shared" si="78"/>
        <v>0</v>
      </c>
      <c r="L320" s="110"/>
      <c r="M320" s="110"/>
      <c r="N320" s="110"/>
      <c r="O320" s="110"/>
      <c r="P320" s="110"/>
      <c r="Q320" s="110"/>
      <c r="R320" s="110"/>
    </row>
    <row r="321" spans="1:23" x14ac:dyDescent="0.3">
      <c r="A321" s="109">
        <v>297</v>
      </c>
      <c r="B321" s="58">
        <f t="shared" si="79"/>
        <v>0</v>
      </c>
      <c r="C321" s="116">
        <f t="shared" si="80"/>
        <v>0</v>
      </c>
      <c r="D321" s="117">
        <f t="shared" si="81"/>
        <v>0</v>
      </c>
      <c r="E321" s="116">
        <f t="shared" si="88"/>
        <v>0</v>
      </c>
      <c r="F321" s="116">
        <f t="shared" si="75"/>
        <v>0</v>
      </c>
      <c r="G321" s="117">
        <v>0</v>
      </c>
      <c r="H321" s="116">
        <f t="shared" si="82"/>
        <v>0</v>
      </c>
      <c r="I321" s="116">
        <f t="shared" si="76"/>
        <v>0</v>
      </c>
      <c r="J321" s="119">
        <f t="shared" si="77"/>
        <v>0</v>
      </c>
      <c r="K321" s="119">
        <f t="shared" si="78"/>
        <v>0</v>
      </c>
      <c r="L321" s="110"/>
      <c r="M321" s="110"/>
      <c r="N321" s="110"/>
      <c r="O321" s="110"/>
      <c r="P321" s="110"/>
      <c r="Q321" s="110"/>
      <c r="R321" s="110"/>
    </row>
    <row r="322" spans="1:23" x14ac:dyDescent="0.3">
      <c r="A322" s="109">
        <v>298</v>
      </c>
      <c r="B322" s="58">
        <f t="shared" si="79"/>
        <v>0</v>
      </c>
      <c r="C322" s="116">
        <f t="shared" si="80"/>
        <v>0</v>
      </c>
      <c r="D322" s="117">
        <f t="shared" si="81"/>
        <v>0</v>
      </c>
      <c r="E322" s="116">
        <f t="shared" si="88"/>
        <v>0</v>
      </c>
      <c r="F322" s="116">
        <f t="shared" si="75"/>
        <v>0</v>
      </c>
      <c r="G322" s="117">
        <v>0</v>
      </c>
      <c r="H322" s="116">
        <f t="shared" si="82"/>
        <v>0</v>
      </c>
      <c r="I322" s="116">
        <f t="shared" si="76"/>
        <v>0</v>
      </c>
      <c r="J322" s="119">
        <f t="shared" si="77"/>
        <v>0</v>
      </c>
      <c r="K322" s="119">
        <f t="shared" si="78"/>
        <v>0</v>
      </c>
      <c r="L322" s="110"/>
      <c r="M322" s="110"/>
      <c r="N322" s="110"/>
      <c r="O322" s="110"/>
      <c r="P322" s="110"/>
      <c r="Q322" s="110"/>
      <c r="R322" s="110"/>
    </row>
    <row r="323" spans="1:23" x14ac:dyDescent="0.3">
      <c r="A323" s="109">
        <v>299</v>
      </c>
      <c r="B323" s="58">
        <f t="shared" si="79"/>
        <v>0</v>
      </c>
      <c r="C323" s="116">
        <f t="shared" si="80"/>
        <v>0</v>
      </c>
      <c r="D323" s="117">
        <f t="shared" si="81"/>
        <v>0</v>
      </c>
      <c r="E323" s="116">
        <f t="shared" si="88"/>
        <v>0</v>
      </c>
      <c r="F323" s="116">
        <f t="shared" si="75"/>
        <v>0</v>
      </c>
      <c r="G323" s="117">
        <v>0</v>
      </c>
      <c r="H323" s="116">
        <f t="shared" si="82"/>
        <v>0</v>
      </c>
      <c r="I323" s="116">
        <f t="shared" si="76"/>
        <v>0</v>
      </c>
      <c r="J323" s="119">
        <f t="shared" si="77"/>
        <v>0</v>
      </c>
      <c r="K323" s="119">
        <f t="shared" si="78"/>
        <v>0</v>
      </c>
      <c r="L323" s="110"/>
      <c r="M323" s="110"/>
      <c r="N323" s="110"/>
      <c r="O323" s="110"/>
      <c r="P323" s="110"/>
      <c r="Q323" s="110"/>
      <c r="R323" s="110"/>
    </row>
    <row r="324" spans="1:23" x14ac:dyDescent="0.3">
      <c r="A324" s="109">
        <v>300</v>
      </c>
      <c r="B324" s="58">
        <f t="shared" si="79"/>
        <v>0</v>
      </c>
      <c r="C324" s="116">
        <f t="shared" si="80"/>
        <v>0</v>
      </c>
      <c r="D324" s="117">
        <f t="shared" si="81"/>
        <v>0</v>
      </c>
      <c r="E324" s="116">
        <f t="shared" si="88"/>
        <v>0</v>
      </c>
      <c r="F324" s="116">
        <f t="shared" si="75"/>
        <v>0</v>
      </c>
      <c r="G324" s="117">
        <v>0</v>
      </c>
      <c r="H324" s="116">
        <f t="shared" si="82"/>
        <v>0</v>
      </c>
      <c r="I324" s="116">
        <f t="shared" si="76"/>
        <v>0</v>
      </c>
      <c r="J324" s="119">
        <f t="shared" si="77"/>
        <v>0</v>
      </c>
      <c r="K324" s="119">
        <f t="shared" si="78"/>
        <v>0</v>
      </c>
      <c r="L324" s="58">
        <f t="shared" ref="L324:Q324" si="89">SUM(C313:C324)</f>
        <v>0</v>
      </c>
      <c r="M324" s="58">
        <f t="shared" si="89"/>
        <v>0</v>
      </c>
      <c r="N324" s="58">
        <f t="shared" si="89"/>
        <v>0</v>
      </c>
      <c r="O324" s="58">
        <f t="shared" si="89"/>
        <v>0</v>
      </c>
      <c r="P324" s="58">
        <f t="shared" si="89"/>
        <v>0</v>
      </c>
      <c r="Q324" s="58">
        <f t="shared" si="89"/>
        <v>0</v>
      </c>
      <c r="R324" s="58">
        <f>SUM(J313:J324)</f>
        <v>0</v>
      </c>
      <c r="S324" s="29">
        <f>SUM(K313:K324)</f>
        <v>0</v>
      </c>
      <c r="T324" s="29"/>
      <c r="U324" s="29"/>
      <c r="V324" s="29"/>
      <c r="W324" s="29"/>
    </row>
    <row r="325" spans="1:23" x14ac:dyDescent="0.3">
      <c r="A325" s="14" t="s">
        <v>10</v>
      </c>
      <c r="B325" s="15"/>
      <c r="C325" s="275">
        <f t="shared" si="80"/>
        <v>10000000</v>
      </c>
      <c r="D325" s="15">
        <f>SUM(D25:D324)</f>
        <v>3310324</v>
      </c>
      <c r="E325" s="15">
        <f t="shared" ref="E325:K325" si="90">SUM(E25:E324)</f>
        <v>5484877.5681349821</v>
      </c>
      <c r="F325" s="15">
        <f t="shared" si="90"/>
        <v>13310324</v>
      </c>
      <c r="G325" s="15">
        <f t="shared" si="90"/>
        <v>0</v>
      </c>
      <c r="H325" s="15">
        <f t="shared" si="90"/>
        <v>13310324</v>
      </c>
      <c r="I325" s="15">
        <f t="shared" si="90"/>
        <v>13388324</v>
      </c>
      <c r="J325" s="120">
        <f t="shared" si="90"/>
        <v>13916428</v>
      </c>
      <c r="K325" s="120">
        <f t="shared" si="90"/>
        <v>14538306</v>
      </c>
      <c r="L325" s="7"/>
      <c r="M325" s="7"/>
      <c r="N325" s="7"/>
      <c r="O325" s="7"/>
      <c r="P325" s="7"/>
      <c r="Q325" s="7"/>
      <c r="R325" s="7"/>
    </row>
  </sheetData>
  <mergeCells count="157">
    <mergeCell ref="IM21:IN21"/>
    <mergeCell ref="IO21:IP21"/>
    <mergeCell ref="IQ21:IR21"/>
    <mergeCell ref="IS21:IT21"/>
    <mergeCell ref="IU21:IV21"/>
    <mergeCell ref="A22:B22"/>
    <mergeCell ref="J22:K22"/>
    <mergeCell ref="IA21:IB21"/>
    <mergeCell ref="IC21:ID21"/>
    <mergeCell ref="IE21:IF21"/>
    <mergeCell ref="IG21:IH21"/>
    <mergeCell ref="II21:IJ21"/>
    <mergeCell ref="IK21:IL21"/>
    <mergeCell ref="HO21:HP21"/>
    <mergeCell ref="HQ21:HR21"/>
    <mergeCell ref="HS21:HT21"/>
    <mergeCell ref="HU21:HV21"/>
    <mergeCell ref="HW21:HX21"/>
    <mergeCell ref="HY21:HZ21"/>
    <mergeCell ref="HC21:HD21"/>
    <mergeCell ref="HE21:HF21"/>
    <mergeCell ref="HG21:HH21"/>
    <mergeCell ref="HI21:HJ21"/>
    <mergeCell ref="HK21:HL21"/>
    <mergeCell ref="HM21:HN21"/>
    <mergeCell ref="GQ21:GR21"/>
    <mergeCell ref="GS21:GT21"/>
    <mergeCell ref="GU21:GV21"/>
    <mergeCell ref="GW21:GX21"/>
    <mergeCell ref="GY21:GZ21"/>
    <mergeCell ref="HA21:HB21"/>
    <mergeCell ref="GE21:GF21"/>
    <mergeCell ref="GG21:GH21"/>
    <mergeCell ref="GI21:GJ21"/>
    <mergeCell ref="GK21:GL21"/>
    <mergeCell ref="GM21:GN21"/>
    <mergeCell ref="GO21:GP21"/>
    <mergeCell ref="FS21:FT21"/>
    <mergeCell ref="FU21:FV21"/>
    <mergeCell ref="FW21:FX21"/>
    <mergeCell ref="FY21:FZ21"/>
    <mergeCell ref="GA21:GB21"/>
    <mergeCell ref="GC21:GD21"/>
    <mergeCell ref="FG21:FH21"/>
    <mergeCell ref="FI21:FJ21"/>
    <mergeCell ref="FK21:FL21"/>
    <mergeCell ref="FM21:FN21"/>
    <mergeCell ref="FO21:FP21"/>
    <mergeCell ref="FQ21:FR21"/>
    <mergeCell ref="EU21:EV21"/>
    <mergeCell ref="EW21:EX21"/>
    <mergeCell ref="EY21:EZ21"/>
    <mergeCell ref="FA21:FB21"/>
    <mergeCell ref="FC21:FD21"/>
    <mergeCell ref="FE21:FF21"/>
    <mergeCell ref="EI21:EJ21"/>
    <mergeCell ref="EK21:EL21"/>
    <mergeCell ref="EM21:EN21"/>
    <mergeCell ref="EO21:EP21"/>
    <mergeCell ref="EQ21:ER21"/>
    <mergeCell ref="ES21:ET21"/>
    <mergeCell ref="DW21:DX21"/>
    <mergeCell ref="DY21:DZ21"/>
    <mergeCell ref="EA21:EB21"/>
    <mergeCell ref="EC21:ED21"/>
    <mergeCell ref="EE21:EF21"/>
    <mergeCell ref="EG21:EH21"/>
    <mergeCell ref="DK21:DL21"/>
    <mergeCell ref="DM21:DN21"/>
    <mergeCell ref="DO21:DP21"/>
    <mergeCell ref="DQ21:DR21"/>
    <mergeCell ref="DS21:DT21"/>
    <mergeCell ref="DU21:DV21"/>
    <mergeCell ref="CY21:CZ21"/>
    <mergeCell ref="DA21:DB21"/>
    <mergeCell ref="DC21:DD21"/>
    <mergeCell ref="DE21:DF21"/>
    <mergeCell ref="DG21:DH21"/>
    <mergeCell ref="DI21:DJ21"/>
    <mergeCell ref="CM21:CN21"/>
    <mergeCell ref="CO21:CP21"/>
    <mergeCell ref="CQ21:CR21"/>
    <mergeCell ref="CS21:CT21"/>
    <mergeCell ref="CU21:CV21"/>
    <mergeCell ref="CW21:CX21"/>
    <mergeCell ref="CA21:CB21"/>
    <mergeCell ref="CC21:CD21"/>
    <mergeCell ref="CE21:CF21"/>
    <mergeCell ref="CG21:CH21"/>
    <mergeCell ref="CI21:CJ21"/>
    <mergeCell ref="CK21:CL21"/>
    <mergeCell ref="BO21:BP21"/>
    <mergeCell ref="BQ21:BR21"/>
    <mergeCell ref="BS21:BT21"/>
    <mergeCell ref="BU21:BV21"/>
    <mergeCell ref="BW21:BX21"/>
    <mergeCell ref="BY21:BZ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AE21:AF21"/>
    <mergeCell ref="AG21:AH21"/>
    <mergeCell ref="AI21:AJ21"/>
    <mergeCell ref="AK21:AL21"/>
    <mergeCell ref="AM21:AN21"/>
    <mergeCell ref="AO21:AP21"/>
    <mergeCell ref="S21:T21"/>
    <mergeCell ref="U21:V21"/>
    <mergeCell ref="W21:X21"/>
    <mergeCell ref="Y21:Z21"/>
    <mergeCell ref="AA21:AB21"/>
    <mergeCell ref="AC21:AD21"/>
    <mergeCell ref="G21:H21"/>
    <mergeCell ref="I21:J21"/>
    <mergeCell ref="K21:L21"/>
    <mergeCell ref="M21:N21"/>
    <mergeCell ref="O21:P21"/>
    <mergeCell ref="Q21:R21"/>
    <mergeCell ref="A15:B15"/>
    <mergeCell ref="A16:B16"/>
    <mergeCell ref="A17:B17"/>
    <mergeCell ref="A18:B18"/>
    <mergeCell ref="A21:B21"/>
    <mergeCell ref="E21:F21"/>
    <mergeCell ref="A19:B19"/>
    <mergeCell ref="A20:B20"/>
    <mergeCell ref="A12:B12"/>
    <mergeCell ref="A13:B13"/>
    <mergeCell ref="A14:B14"/>
    <mergeCell ref="A5:B5"/>
    <mergeCell ref="H5:I12"/>
    <mergeCell ref="A6:B6"/>
    <mergeCell ref="E6:F6"/>
    <mergeCell ref="A7:B7"/>
    <mergeCell ref="E7:F7"/>
    <mergeCell ref="A8:B8"/>
    <mergeCell ref="E8:F8"/>
    <mergeCell ref="A9:B9"/>
    <mergeCell ref="A10:B10"/>
    <mergeCell ref="A1:B1"/>
    <mergeCell ref="C1:H1"/>
    <mergeCell ref="A2:B2"/>
    <mergeCell ref="D2:E2"/>
    <mergeCell ref="A3:B3"/>
    <mergeCell ref="A4:B4"/>
    <mergeCell ref="E10:F10"/>
    <mergeCell ref="J10:K11"/>
    <mergeCell ref="A11:B11"/>
  </mergeCells>
  <dataValidations disablePrompts="1" count="4">
    <dataValidation allowBlank="1" showInputMessage="1" showErrorMessage="1" promptTitle="Figyelem!" sqref="C4" xr:uid="{00000000-0002-0000-0400-000000000000}"/>
    <dataValidation type="whole" allowBlank="1" showInputMessage="1" showErrorMessage="1" error="A futamidőnek 60 hónap és 300 hónap közé kell esnie!" promptTitle="FIGYELEM!" prompt="Min. futamidő: 60 hónap._x000a__x000a_Kamattámogatás 25 évig (300 hónapig) vehető igénybe!_x000a__x000a_Max. futamidő:_x000a_300 hó" sqref="C3" xr:uid="{00000000-0002-0000-0400-000001000000}">
      <formula1>60</formula1>
      <formula2>300</formula2>
    </dataValidation>
    <dataValidation allowBlank="1" showErrorMessage="1" sqref="C9" xr:uid="{00000000-0002-0000-0400-000002000000}"/>
    <dataValidation type="list" allowBlank="1" prompt="_x000a_" sqref="G6" xr:uid="{00000000-0002-0000-0400-000003000000}">
      <formula1>$AB$2:$AB$6</formula1>
    </dataValidation>
  </dataValidations>
  <pageMargins left="0.19685039370078741" right="0.19685039370078741" top="0.98425196850393704" bottom="0.98425196850393704" header="0.51181102362204722" footer="0.51181102362204722"/>
  <pageSetup paperSize="9" scale="77" orientation="landscape" r:id="rId1"/>
  <headerFooter alignWithMargins="0"/>
  <rowBreaks count="1" manualBreakCount="1">
    <brk id="36" max="8"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4000000}">
          <x14:formula1>
            <xm:f>Munka1!$A$11:$A$12</xm:f>
          </x14:formula1>
          <xm:sqref>C1:H1</xm:sqref>
        </x14:dataValidation>
        <x14:dataValidation type="decimal" allowBlank="1" showInputMessage="1" showErrorMessage="1" errorTitle="Hiba!" error="A max. kölcsönösszeg:_x000a_- 2 gyermek esetén 10M Ft_x000a_- 3 gyermek esetén 15M Ft" promptTitle="Figyelem!" prompt="A max. kölcsönösszeg:_x000a_- 2 gyermek esetén 10M Ft_x000a_- 3 gyermek esetén 15M Ft" xr:uid="{00000000-0002-0000-0400-000005000000}">
          <x14:formula1>
            <xm:f>1000000</xm:f>
          </x14:formula1>
          <x14:formula2>
            <xm:f>Munka1!A17</xm:f>
          </x14:formula2>
          <xm:sqref>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2"/>
  <dimension ref="A1:F56"/>
  <sheetViews>
    <sheetView zoomScaleNormal="100" workbookViewId="0">
      <selection sqref="A1:B1"/>
    </sheetView>
  </sheetViews>
  <sheetFormatPr defaultColWidth="9.109375" defaultRowHeight="13.2" x14ac:dyDescent="0.25"/>
  <cols>
    <col min="1" max="1" width="7.6640625" style="59" customWidth="1"/>
    <col min="2" max="2" width="17.33203125" style="59" customWidth="1"/>
    <col min="3" max="3" width="19.109375" style="59" customWidth="1"/>
    <col min="4" max="4" width="18.6640625" style="59" customWidth="1"/>
    <col min="5" max="5" width="14.5546875" style="59" customWidth="1"/>
    <col min="6" max="16384" width="9.109375" style="59"/>
  </cols>
  <sheetData>
    <row r="1" spans="1:6" ht="42.75" customHeight="1" x14ac:dyDescent="0.25">
      <c r="A1" s="554"/>
      <c r="B1" s="554"/>
    </row>
    <row r="2" spans="1:6" ht="27" customHeight="1" x14ac:dyDescent="0.25">
      <c r="A2" s="559" t="s">
        <v>15</v>
      </c>
      <c r="B2" s="559"/>
      <c r="C2" s="559"/>
      <c r="D2" s="559"/>
      <c r="E2" s="559"/>
      <c r="F2" s="559"/>
    </row>
    <row r="3" spans="1:6" ht="17.25" customHeight="1" x14ac:dyDescent="0.25">
      <c r="A3" s="60"/>
      <c r="B3" s="60"/>
    </row>
    <row r="4" spans="1:6" ht="13.8" x14ac:dyDescent="0.3">
      <c r="A4" s="555" t="s">
        <v>0</v>
      </c>
      <c r="B4" s="556"/>
      <c r="C4" s="84">
        <f>Calc!C2</f>
        <v>10000000</v>
      </c>
    </row>
    <row r="5" spans="1:6" ht="13.8" x14ac:dyDescent="0.3">
      <c r="A5" s="557" t="s">
        <v>25</v>
      </c>
      <c r="B5" s="558"/>
      <c r="C5" s="85">
        <f>Calc!C3</f>
        <v>240</v>
      </c>
    </row>
    <row r="6" spans="1:6" ht="13.8" x14ac:dyDescent="0.3">
      <c r="A6" s="89" t="s">
        <v>26</v>
      </c>
      <c r="B6" s="83"/>
      <c r="C6" s="85">
        <f>Calc!G6</f>
        <v>0</v>
      </c>
    </row>
    <row r="7" spans="1:6" ht="13.8" x14ac:dyDescent="0.3">
      <c r="A7" s="557" t="s">
        <v>79</v>
      </c>
      <c r="B7" s="558"/>
      <c r="C7" s="86">
        <f>Calc!C4</f>
        <v>0.03</v>
      </c>
    </row>
    <row r="8" spans="1:6" ht="13.8" x14ac:dyDescent="0.3">
      <c r="A8" s="557" t="s">
        <v>1</v>
      </c>
      <c r="B8" s="558"/>
      <c r="C8" s="86">
        <f>Calc!C6</f>
        <v>0</v>
      </c>
    </row>
    <row r="9" spans="1:6" ht="13.8" x14ac:dyDescent="0.3">
      <c r="A9" s="564" t="s">
        <v>2</v>
      </c>
      <c r="B9" s="565"/>
      <c r="C9" s="87">
        <f>Calc!C7</f>
        <v>0</v>
      </c>
    </row>
    <row r="10" spans="1:6" ht="13.8" x14ac:dyDescent="0.3">
      <c r="A10" s="560" t="s">
        <v>3</v>
      </c>
      <c r="B10" s="561"/>
      <c r="C10" s="87">
        <f>Calc!C8</f>
        <v>0</v>
      </c>
    </row>
    <row r="11" spans="1:6" ht="13.8" x14ac:dyDescent="0.3">
      <c r="A11" s="557" t="s">
        <v>77</v>
      </c>
      <c r="B11" s="558"/>
      <c r="C11" s="86">
        <f>Calc!C9</f>
        <v>0</v>
      </c>
    </row>
    <row r="12" spans="1:6" ht="13.8" x14ac:dyDescent="0.3">
      <c r="A12" s="564" t="s">
        <v>2</v>
      </c>
      <c r="B12" s="565"/>
      <c r="C12" s="87">
        <f>Calc!C10</f>
        <v>0</v>
      </c>
    </row>
    <row r="13" spans="1:6" ht="13.8" x14ac:dyDescent="0.3">
      <c r="A13" s="560" t="s">
        <v>3</v>
      </c>
      <c r="B13" s="561"/>
      <c r="C13" s="87">
        <f>Calc!C11</f>
        <v>0</v>
      </c>
    </row>
    <row r="14" spans="1:6" ht="13.8" x14ac:dyDescent="0.3">
      <c r="A14" s="564" t="s">
        <v>19</v>
      </c>
      <c r="B14" s="565"/>
      <c r="C14" s="87">
        <f>Calc!C12</f>
        <v>0</v>
      </c>
    </row>
    <row r="15" spans="1:6" ht="13.8" x14ac:dyDescent="0.3">
      <c r="A15" s="562" t="s">
        <v>4</v>
      </c>
      <c r="B15" s="563"/>
      <c r="C15" s="88" t="str">
        <f>Calc!C13</f>
        <v>havi</v>
      </c>
    </row>
    <row r="17" spans="1:5" ht="13.8" x14ac:dyDescent="0.3">
      <c r="A17" s="547" t="s">
        <v>11</v>
      </c>
      <c r="B17" s="547"/>
      <c r="C17" s="82">
        <f>Calc!F3</f>
        <v>3.1226375998649525E-2</v>
      </c>
    </row>
    <row r="18" spans="1:5" ht="13.8" thickBot="1" x14ac:dyDescent="0.3"/>
    <row r="19" spans="1:5" ht="27.6" x14ac:dyDescent="0.25">
      <c r="A19" s="61" t="s">
        <v>12</v>
      </c>
      <c r="B19" s="62" t="s">
        <v>8</v>
      </c>
      <c r="C19" s="63" t="s">
        <v>1</v>
      </c>
      <c r="D19" s="64" t="s">
        <v>9</v>
      </c>
      <c r="E19" s="65" t="s">
        <v>6</v>
      </c>
    </row>
    <row r="20" spans="1:5" ht="13.8" x14ac:dyDescent="0.3">
      <c r="A20" s="75">
        <v>1</v>
      </c>
      <c r="B20" s="76">
        <f>Calc!F26</f>
        <v>55460</v>
      </c>
      <c r="C20" s="77">
        <f>Calc!G26*12</f>
        <v>0</v>
      </c>
      <c r="D20" s="76">
        <f>Calc!H26</f>
        <v>55460</v>
      </c>
      <c r="E20" s="77">
        <f>Calc!B38</f>
        <v>9598026</v>
      </c>
    </row>
    <row r="21" spans="1:5" ht="13.8" x14ac:dyDescent="0.3">
      <c r="A21" s="78">
        <v>2</v>
      </c>
      <c r="B21" s="67">
        <f>Calc!F38</f>
        <v>55460</v>
      </c>
      <c r="C21" s="68">
        <f>Calc!G38*12</f>
        <v>0</v>
      </c>
      <c r="D21" s="67">
        <f>Calc!H38</f>
        <v>55460</v>
      </c>
      <c r="E21" s="68">
        <f>Calc!B50</f>
        <v>9215211</v>
      </c>
    </row>
    <row r="22" spans="1:5" ht="13.8" x14ac:dyDescent="0.3">
      <c r="A22" s="78">
        <v>3</v>
      </c>
      <c r="B22" s="67">
        <f>Calc!F50</f>
        <v>55460</v>
      </c>
      <c r="C22" s="68">
        <f>Calc!G50*12</f>
        <v>0</v>
      </c>
      <c r="D22" s="67">
        <f>Calc!H50</f>
        <v>55460</v>
      </c>
      <c r="E22" s="68">
        <f>Calc!B62</f>
        <v>8820753</v>
      </c>
    </row>
    <row r="23" spans="1:5" ht="13.8" x14ac:dyDescent="0.3">
      <c r="A23" s="78">
        <v>4</v>
      </c>
      <c r="B23" s="67">
        <f>Calc!F62</f>
        <v>55460</v>
      </c>
      <c r="C23" s="68">
        <f>Calc!G62*12</f>
        <v>0</v>
      </c>
      <c r="D23" s="67">
        <f>Calc!H62</f>
        <v>55460</v>
      </c>
      <c r="E23" s="68">
        <f>Calc!B74</f>
        <v>8414299</v>
      </c>
    </row>
    <row r="24" spans="1:5" ht="13.8" x14ac:dyDescent="0.3">
      <c r="A24" s="78">
        <v>5</v>
      </c>
      <c r="B24" s="67">
        <f>Calc!F74</f>
        <v>55460</v>
      </c>
      <c r="C24" s="68">
        <f>Calc!G74*12</f>
        <v>0</v>
      </c>
      <c r="D24" s="67">
        <f>Calc!H74</f>
        <v>55460</v>
      </c>
      <c r="E24" s="68">
        <f>Calc!B86</f>
        <v>7995479</v>
      </c>
    </row>
    <row r="25" spans="1:5" ht="13.8" x14ac:dyDescent="0.3">
      <c r="A25" s="78">
        <v>6</v>
      </c>
      <c r="B25" s="67">
        <f>Calc!F86</f>
        <v>55460</v>
      </c>
      <c r="C25" s="68">
        <f>Calc!G86*12</f>
        <v>0</v>
      </c>
      <c r="D25" s="67">
        <f>Calc!H86</f>
        <v>55460</v>
      </c>
      <c r="E25" s="68">
        <f>Calc!B98</f>
        <v>7563922</v>
      </c>
    </row>
    <row r="26" spans="1:5" ht="13.8" x14ac:dyDescent="0.3">
      <c r="A26" s="78">
        <v>7</v>
      </c>
      <c r="B26" s="67">
        <f>Calc!F98</f>
        <v>55460</v>
      </c>
      <c r="C26" s="68">
        <f>Calc!G98*12</f>
        <v>0</v>
      </c>
      <c r="D26" s="67">
        <f>Calc!H98</f>
        <v>55460</v>
      </c>
      <c r="E26" s="68">
        <f>Calc!B110</f>
        <v>7119238</v>
      </c>
    </row>
    <row r="27" spans="1:5" ht="13.8" x14ac:dyDescent="0.3">
      <c r="A27" s="78">
        <v>8</v>
      </c>
      <c r="B27" s="67">
        <f>Calc!F110</f>
        <v>55460</v>
      </c>
      <c r="C27" s="68">
        <f>Calc!G110*12</f>
        <v>0</v>
      </c>
      <c r="D27" s="67">
        <f>Calc!H110</f>
        <v>55460</v>
      </c>
      <c r="E27" s="68">
        <f>Calc!B122</f>
        <v>6661029</v>
      </c>
    </row>
    <row r="28" spans="1:5" ht="13.8" x14ac:dyDescent="0.3">
      <c r="A28" s="78">
        <v>9</v>
      </c>
      <c r="B28" s="67">
        <f>Calc!F122</f>
        <v>55460</v>
      </c>
      <c r="C28" s="68">
        <f>Calc!G122*12</f>
        <v>0</v>
      </c>
      <c r="D28" s="67">
        <f>Calc!H122</f>
        <v>55460</v>
      </c>
      <c r="E28" s="68">
        <f>Calc!B134</f>
        <v>6188884</v>
      </c>
    </row>
    <row r="29" spans="1:5" ht="13.8" x14ac:dyDescent="0.3">
      <c r="A29" s="79">
        <v>10</v>
      </c>
      <c r="B29" s="80">
        <f>Calc!F134</f>
        <v>55460</v>
      </c>
      <c r="C29" s="81">
        <f>Calc!G134*12</f>
        <v>0</v>
      </c>
      <c r="D29" s="80">
        <f>Calc!H134</f>
        <v>55460</v>
      </c>
      <c r="E29" s="81">
        <f>Calc!B146</f>
        <v>5702377</v>
      </c>
    </row>
    <row r="30" spans="1:5" ht="13.8" x14ac:dyDescent="0.3">
      <c r="A30" s="75">
        <v>11</v>
      </c>
      <c r="B30" s="76">
        <f>Calc!F146</f>
        <v>55460</v>
      </c>
      <c r="C30" s="77">
        <f>Calc!G146*12</f>
        <v>0</v>
      </c>
      <c r="D30" s="76">
        <f>Calc!H146</f>
        <v>55460</v>
      </c>
      <c r="E30" s="77">
        <f>Calc!B158</f>
        <v>5201073</v>
      </c>
    </row>
    <row r="31" spans="1:5" ht="13.8" x14ac:dyDescent="0.3">
      <c r="A31" s="78">
        <v>12</v>
      </c>
      <c r="B31" s="67">
        <f>Calc!F158</f>
        <v>55460</v>
      </c>
      <c r="C31" s="68">
        <f>Calc!G158*12</f>
        <v>0</v>
      </c>
      <c r="D31" s="67">
        <f>Calc!H158</f>
        <v>55460</v>
      </c>
      <c r="E31" s="68">
        <f>Calc!B170</f>
        <v>4684521</v>
      </c>
    </row>
    <row r="32" spans="1:5" ht="13.8" x14ac:dyDescent="0.3">
      <c r="A32" s="78">
        <v>13</v>
      </c>
      <c r="B32" s="67">
        <f>Calc!F170</f>
        <v>55460</v>
      </c>
      <c r="C32" s="68">
        <f>Calc!G170*12</f>
        <v>0</v>
      </c>
      <c r="D32" s="67">
        <f>Calc!H170</f>
        <v>55460</v>
      </c>
      <c r="E32" s="68">
        <f>Calc!B182</f>
        <v>4152257</v>
      </c>
    </row>
    <row r="33" spans="1:5" ht="13.8" x14ac:dyDescent="0.3">
      <c r="A33" s="78">
        <v>14</v>
      </c>
      <c r="B33" s="67">
        <f>Calc!F182</f>
        <v>55460</v>
      </c>
      <c r="C33" s="68">
        <f>Calc!G182*12</f>
        <v>0</v>
      </c>
      <c r="D33" s="67">
        <f>Calc!H182</f>
        <v>55460</v>
      </c>
      <c r="E33" s="68">
        <f>Calc!B194</f>
        <v>3603804</v>
      </c>
    </row>
    <row r="34" spans="1:5" ht="13.8" x14ac:dyDescent="0.3">
      <c r="A34" s="78">
        <v>15</v>
      </c>
      <c r="B34" s="67">
        <f>Calc!F194</f>
        <v>55460</v>
      </c>
      <c r="C34" s="68">
        <f>Calc!G194*12</f>
        <v>0</v>
      </c>
      <c r="D34" s="67">
        <f>Calc!H194</f>
        <v>55460</v>
      </c>
      <c r="E34" s="68">
        <f>Calc!B206</f>
        <v>3038669</v>
      </c>
    </row>
    <row r="35" spans="1:5" ht="13.8" x14ac:dyDescent="0.3">
      <c r="A35" s="78">
        <v>16</v>
      </c>
      <c r="B35" s="67">
        <f>Calc!F206</f>
        <v>55460</v>
      </c>
      <c r="C35" s="68">
        <f>Calc!G206*12</f>
        <v>0</v>
      </c>
      <c r="D35" s="67">
        <f>Calc!H206</f>
        <v>55460</v>
      </c>
      <c r="E35" s="68">
        <f>Calc!B218</f>
        <v>2456346</v>
      </c>
    </row>
    <row r="36" spans="1:5" ht="13.8" x14ac:dyDescent="0.3">
      <c r="A36" s="78">
        <v>17</v>
      </c>
      <c r="B36" s="67">
        <f>Calc!F218</f>
        <v>55460</v>
      </c>
      <c r="C36" s="68">
        <f>Calc!G218*12</f>
        <v>0</v>
      </c>
      <c r="D36" s="67">
        <f>Calc!H218</f>
        <v>55460</v>
      </c>
      <c r="E36" s="68">
        <f>Calc!B230</f>
        <v>1856311</v>
      </c>
    </row>
    <row r="37" spans="1:5" ht="13.8" x14ac:dyDescent="0.3">
      <c r="A37" s="78">
        <v>18</v>
      </c>
      <c r="B37" s="67">
        <f>Calc!F230</f>
        <v>55460</v>
      </c>
      <c r="C37" s="68">
        <f>Calc!G230*12</f>
        <v>0</v>
      </c>
      <c r="D37" s="67">
        <f>Calc!H230</f>
        <v>55460</v>
      </c>
      <c r="E37" s="68">
        <f>Calc!B242</f>
        <v>1238026</v>
      </c>
    </row>
    <row r="38" spans="1:5" ht="13.8" x14ac:dyDescent="0.3">
      <c r="A38" s="78">
        <v>19</v>
      </c>
      <c r="B38" s="67">
        <f>Calc!F242</f>
        <v>55460</v>
      </c>
      <c r="C38" s="68">
        <f>Calc!G242*12</f>
        <v>0</v>
      </c>
      <c r="D38" s="67">
        <f>Calc!H242</f>
        <v>55460</v>
      </c>
      <c r="E38" s="68">
        <f>Calc!B254</f>
        <v>600934</v>
      </c>
    </row>
    <row r="39" spans="1:5" ht="13.8" x14ac:dyDescent="0.3">
      <c r="A39" s="79">
        <v>20</v>
      </c>
      <c r="B39" s="80">
        <f>Calc!F254</f>
        <v>55460</v>
      </c>
      <c r="C39" s="81">
        <f>Calc!G254*12</f>
        <v>0</v>
      </c>
      <c r="D39" s="80">
        <f>Calc!H254</f>
        <v>55460</v>
      </c>
      <c r="E39" s="81">
        <f>Calc!B266</f>
        <v>0</v>
      </c>
    </row>
    <row r="40" spans="1:5" ht="13.8" x14ac:dyDescent="0.3">
      <c r="A40" s="75">
        <v>21</v>
      </c>
      <c r="B40" s="76">
        <f>Calc!F266</f>
        <v>0</v>
      </c>
      <c r="C40" s="77">
        <f>Calc!G266*12</f>
        <v>0</v>
      </c>
      <c r="D40" s="76">
        <f>Calc!H266</f>
        <v>0</v>
      </c>
      <c r="E40" s="77">
        <f>Calc!B278</f>
        <v>0</v>
      </c>
    </row>
    <row r="41" spans="1:5" ht="13.8" x14ac:dyDescent="0.3">
      <c r="A41" s="78">
        <v>22</v>
      </c>
      <c r="B41" s="67">
        <f>Calc!F278</f>
        <v>0</v>
      </c>
      <c r="C41" s="68">
        <f>Calc!G278*12</f>
        <v>0</v>
      </c>
      <c r="D41" s="67">
        <f>Calc!H278</f>
        <v>0</v>
      </c>
      <c r="E41" s="68">
        <f>Calc!B290</f>
        <v>0</v>
      </c>
    </row>
    <row r="42" spans="1:5" ht="13.8" x14ac:dyDescent="0.3">
      <c r="A42" s="78">
        <v>23</v>
      </c>
      <c r="B42" s="67">
        <f>Calc!F290</f>
        <v>0</v>
      </c>
      <c r="C42" s="68">
        <f>Calc!G290*12</f>
        <v>0</v>
      </c>
      <c r="D42" s="67">
        <f>Calc!H290</f>
        <v>0</v>
      </c>
      <c r="E42" s="68">
        <f>Calc!B302</f>
        <v>0</v>
      </c>
    </row>
    <row r="43" spans="1:5" ht="13.8" x14ac:dyDescent="0.3">
      <c r="A43" s="78">
        <v>24</v>
      </c>
      <c r="B43" s="67">
        <f>Calc!F302</f>
        <v>0</v>
      </c>
      <c r="C43" s="68">
        <f>Calc!G302*12</f>
        <v>0</v>
      </c>
      <c r="D43" s="67">
        <f>Calc!H302</f>
        <v>0</v>
      </c>
      <c r="E43" s="68">
        <f>Calc!B314</f>
        <v>0</v>
      </c>
    </row>
    <row r="44" spans="1:5" ht="13.8" x14ac:dyDescent="0.3">
      <c r="A44" s="78">
        <v>25</v>
      </c>
      <c r="B44" s="67">
        <f>Calc!F314</f>
        <v>0</v>
      </c>
      <c r="C44" s="68">
        <f>Calc!G314*12</f>
        <v>0</v>
      </c>
      <c r="D44" s="67">
        <f>Calc!H314</f>
        <v>0</v>
      </c>
      <c r="E44" s="68" t="e">
        <f>Calc!#REF!</f>
        <v>#REF!</v>
      </c>
    </row>
    <row r="45" spans="1:5" ht="13.8" x14ac:dyDescent="0.3">
      <c r="A45" s="78">
        <v>26</v>
      </c>
      <c r="B45" s="67" t="e">
        <f>Calc!#REF!</f>
        <v>#REF!</v>
      </c>
      <c r="C45" s="68" t="e">
        <f>Calc!#REF!*12</f>
        <v>#REF!</v>
      </c>
      <c r="D45" s="67" t="e">
        <f>Calc!#REF!</f>
        <v>#REF!</v>
      </c>
      <c r="E45" s="68" t="e">
        <f>Calc!#REF!</f>
        <v>#REF!</v>
      </c>
    </row>
    <row r="46" spans="1:5" ht="13.8" x14ac:dyDescent="0.3">
      <c r="A46" s="78">
        <v>27</v>
      </c>
      <c r="B46" s="67" t="e">
        <f>Calc!#REF!</f>
        <v>#REF!</v>
      </c>
      <c r="C46" s="68" t="e">
        <f>Calc!#REF!*12</f>
        <v>#REF!</v>
      </c>
      <c r="D46" s="67" t="e">
        <f>Calc!#REF!</f>
        <v>#REF!</v>
      </c>
      <c r="E46" s="68" t="e">
        <f>Calc!#REF!</f>
        <v>#REF!</v>
      </c>
    </row>
    <row r="47" spans="1:5" ht="13.8" x14ac:dyDescent="0.3">
      <c r="A47" s="78">
        <v>28</v>
      </c>
      <c r="B47" s="67" t="e">
        <f>Calc!#REF!</f>
        <v>#REF!</v>
      </c>
      <c r="C47" s="68" t="e">
        <f>Calc!#REF!*12</f>
        <v>#REF!</v>
      </c>
      <c r="D47" s="67" t="e">
        <f>Calc!#REF!</f>
        <v>#REF!</v>
      </c>
      <c r="E47" s="68" t="e">
        <f>Calc!#REF!</f>
        <v>#REF!</v>
      </c>
    </row>
    <row r="48" spans="1:5" ht="13.8" x14ac:dyDescent="0.3">
      <c r="A48" s="78">
        <v>29</v>
      </c>
      <c r="B48" s="67" t="e">
        <f>Calc!#REF!</f>
        <v>#REF!</v>
      </c>
      <c r="C48" s="68" t="e">
        <f>Calc!#REF!*12</f>
        <v>#REF!</v>
      </c>
      <c r="D48" s="67" t="e">
        <f>Calc!#REF!</f>
        <v>#REF!</v>
      </c>
      <c r="E48" s="68" t="e">
        <f>Calc!#REF!</f>
        <v>#REF!</v>
      </c>
    </row>
    <row r="49" spans="1:5" ht="13.8" x14ac:dyDescent="0.3">
      <c r="A49" s="79">
        <v>30</v>
      </c>
      <c r="B49" s="80" t="e">
        <f>Calc!#REF!</f>
        <v>#REF!</v>
      </c>
      <c r="C49" s="81" t="e">
        <f>Calc!#REF!*12</f>
        <v>#REF!</v>
      </c>
      <c r="D49" s="80" t="e">
        <f>Calc!#REF!</f>
        <v>#REF!</v>
      </c>
      <c r="E49" s="81" t="e">
        <f>Calc!#REF!</f>
        <v>#REF!</v>
      </c>
    </row>
    <row r="50" spans="1:5" ht="13.8" x14ac:dyDescent="0.3">
      <c r="A50" s="66">
        <v>31</v>
      </c>
      <c r="B50" s="67" t="e">
        <f>Calc!#REF!</f>
        <v>#REF!</v>
      </c>
      <c r="C50" s="68" t="e">
        <f>Calc!#REF!*12</f>
        <v>#REF!</v>
      </c>
      <c r="D50" s="67" t="e">
        <f>Calc!#REF!</f>
        <v>#REF!</v>
      </c>
      <c r="E50" s="69" t="e">
        <f>Calc!#REF!</f>
        <v>#REF!</v>
      </c>
    </row>
    <row r="51" spans="1:5" ht="13.8" x14ac:dyDescent="0.3">
      <c r="A51" s="66">
        <v>32</v>
      </c>
      <c r="B51" s="67" t="e">
        <f>Calc!#REF!</f>
        <v>#REF!</v>
      </c>
      <c r="C51" s="68" t="e">
        <f>Calc!#REF!*12</f>
        <v>#REF!</v>
      </c>
      <c r="D51" s="67" t="e">
        <f>Calc!#REF!</f>
        <v>#REF!</v>
      </c>
      <c r="E51" s="69" t="e">
        <f>Calc!#REF!</f>
        <v>#REF!</v>
      </c>
    </row>
    <row r="52" spans="1:5" ht="13.8" x14ac:dyDescent="0.3">
      <c r="A52" s="66">
        <v>33</v>
      </c>
      <c r="B52" s="67" t="e">
        <f>Calc!#REF!</f>
        <v>#REF!</v>
      </c>
      <c r="C52" s="68" t="e">
        <f>Calc!#REF!*12</f>
        <v>#REF!</v>
      </c>
      <c r="D52" s="67" t="e">
        <f>Calc!#REF!</f>
        <v>#REF!</v>
      </c>
      <c r="E52" s="69" t="e">
        <f>Calc!#REF!</f>
        <v>#REF!</v>
      </c>
    </row>
    <row r="53" spans="1:5" ht="13.8" x14ac:dyDescent="0.3">
      <c r="A53" s="66">
        <v>34</v>
      </c>
      <c r="B53" s="67" t="e">
        <f>Calc!#REF!</f>
        <v>#REF!</v>
      </c>
      <c r="C53" s="68" t="e">
        <f>Calc!#REF!*12</f>
        <v>#REF!</v>
      </c>
      <c r="D53" s="67" t="e">
        <f>Calc!#REF!</f>
        <v>#REF!</v>
      </c>
      <c r="E53" s="69" t="e">
        <f>Calc!#REF!</f>
        <v>#REF!</v>
      </c>
    </row>
    <row r="54" spans="1:5" ht="14.4" thickBot="1" x14ac:dyDescent="0.35">
      <c r="A54" s="70">
        <v>35</v>
      </c>
      <c r="B54" s="71" t="e">
        <f>Calc!#REF!</f>
        <v>#REF!</v>
      </c>
      <c r="C54" s="72" t="e">
        <f>Calc!#REF!*12</f>
        <v>#REF!</v>
      </c>
      <c r="D54" s="71" t="e">
        <f>Calc!#REF!</f>
        <v>#REF!</v>
      </c>
      <c r="E54" s="73">
        <f>Calc!B326</f>
        <v>0</v>
      </c>
    </row>
    <row r="56" spans="1:5" ht="13.8" x14ac:dyDescent="0.3">
      <c r="A56" s="74" t="s">
        <v>18</v>
      </c>
    </row>
  </sheetData>
  <mergeCells count="14">
    <mergeCell ref="A17:B17"/>
    <mergeCell ref="A1:B1"/>
    <mergeCell ref="A4:B4"/>
    <mergeCell ref="A5:B5"/>
    <mergeCell ref="A7:B7"/>
    <mergeCell ref="A8:B8"/>
    <mergeCell ref="A2:F2"/>
    <mergeCell ref="A13:B13"/>
    <mergeCell ref="A15:B15"/>
    <mergeCell ref="A9:B9"/>
    <mergeCell ref="A10:B10"/>
    <mergeCell ref="A11:B11"/>
    <mergeCell ref="A12:B12"/>
    <mergeCell ref="A14:B14"/>
  </mergeCells>
  <phoneticPr fontId="0" type="noConversion"/>
  <printOptions horizontalCentered="1"/>
  <pageMargins left="0.78740157480314965" right="0.78740157480314965" top="0.59055118110236227" bottom="0.59055118110236227" header="0.51181102362204722" footer="0.51181102362204722"/>
  <pageSetup paperSize="9" orientation="portrait" verticalDpi="300" r:id="rId1"/>
  <headerFooter alignWithMargins="0">
    <oddFooter>&amp;R&amp;D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3"/>
  <dimension ref="A1:E26"/>
  <sheetViews>
    <sheetView zoomScaleNormal="100" workbookViewId="0">
      <selection sqref="A1:B1"/>
    </sheetView>
  </sheetViews>
  <sheetFormatPr defaultColWidth="9.109375" defaultRowHeight="13.2" x14ac:dyDescent="0.25"/>
  <cols>
    <col min="1" max="1" width="7.6640625" style="96" customWidth="1"/>
    <col min="2" max="2" width="19.5546875" style="96" customWidth="1"/>
    <col min="3" max="3" width="19.109375" style="96" customWidth="1"/>
    <col min="4" max="4" width="18.6640625" style="96" customWidth="1"/>
    <col min="5" max="5" width="14.5546875" style="96" customWidth="1"/>
    <col min="6" max="16384" width="9.109375" style="96"/>
  </cols>
  <sheetData>
    <row r="1" spans="1:5" ht="55.5" customHeight="1" x14ac:dyDescent="0.25">
      <c r="A1" s="574"/>
      <c r="B1" s="574"/>
    </row>
    <row r="2" spans="1:5" ht="27" customHeight="1" x14ac:dyDescent="0.25">
      <c r="A2" s="575" t="s">
        <v>15</v>
      </c>
      <c r="B2" s="575"/>
      <c r="C2" s="575"/>
      <c r="D2" s="575"/>
      <c r="E2" s="575"/>
    </row>
    <row r="3" spans="1:5" ht="66" customHeight="1" x14ac:dyDescent="0.25">
      <c r="A3" s="97"/>
      <c r="B3" s="97"/>
    </row>
    <row r="4" spans="1:5" ht="15.6" x14ac:dyDescent="0.3">
      <c r="B4" s="578" t="s">
        <v>0</v>
      </c>
      <c r="C4" s="579"/>
      <c r="D4" s="91">
        <f>Calc!C2</f>
        <v>10000000</v>
      </c>
    </row>
    <row r="5" spans="1:5" ht="15.6" x14ac:dyDescent="0.3">
      <c r="B5" s="568" t="s">
        <v>25</v>
      </c>
      <c r="C5" s="569"/>
      <c r="D5" s="92">
        <f>Calc!C3</f>
        <v>240</v>
      </c>
    </row>
    <row r="6" spans="1:5" ht="15.6" x14ac:dyDescent="0.3">
      <c r="B6" s="568" t="s">
        <v>79</v>
      </c>
      <c r="C6" s="569"/>
      <c r="D6" s="93">
        <f>Calc!C4</f>
        <v>0.03</v>
      </c>
    </row>
    <row r="7" spans="1:5" ht="15.6" x14ac:dyDescent="0.3">
      <c r="B7" s="568" t="s">
        <v>22</v>
      </c>
      <c r="C7" s="569"/>
      <c r="D7" s="93">
        <f>Calc!C6</f>
        <v>0</v>
      </c>
    </row>
    <row r="8" spans="1:5" ht="15.6" x14ac:dyDescent="0.3">
      <c r="B8" s="564" t="s">
        <v>2</v>
      </c>
      <c r="C8" s="576"/>
      <c r="D8" s="94">
        <f>Calc!C7</f>
        <v>0</v>
      </c>
    </row>
    <row r="9" spans="1:5" ht="15.6" x14ac:dyDescent="0.3">
      <c r="B9" s="560" t="s">
        <v>3</v>
      </c>
      <c r="C9" s="577"/>
      <c r="D9" s="94">
        <f>Calc!C8</f>
        <v>0</v>
      </c>
    </row>
    <row r="10" spans="1:5" ht="15.6" x14ac:dyDescent="0.3">
      <c r="B10" s="568" t="s">
        <v>77</v>
      </c>
      <c r="C10" s="569"/>
      <c r="D10" s="93">
        <f>Calc!C9</f>
        <v>0</v>
      </c>
    </row>
    <row r="11" spans="1:5" ht="15.6" x14ac:dyDescent="0.3">
      <c r="B11" s="564" t="s">
        <v>2</v>
      </c>
      <c r="C11" s="576"/>
      <c r="D11" s="94">
        <f>Calc!C10</f>
        <v>0</v>
      </c>
    </row>
    <row r="12" spans="1:5" ht="15.6" x14ac:dyDescent="0.3">
      <c r="B12" s="560" t="s">
        <v>3</v>
      </c>
      <c r="C12" s="577"/>
      <c r="D12" s="94">
        <f>Calc!C11</f>
        <v>0</v>
      </c>
    </row>
    <row r="13" spans="1:5" ht="15.6" x14ac:dyDescent="0.3">
      <c r="B13" s="564" t="s">
        <v>19</v>
      </c>
      <c r="C13" s="576"/>
      <c r="D13" s="94">
        <f>Calc!C12</f>
        <v>0</v>
      </c>
    </row>
    <row r="14" spans="1:5" ht="15.6" x14ac:dyDescent="0.3">
      <c r="B14" s="568" t="s">
        <v>4</v>
      </c>
      <c r="C14" s="569"/>
      <c r="D14" s="95" t="str">
        <f>Calc!C13</f>
        <v>havi</v>
      </c>
    </row>
    <row r="15" spans="1:5" ht="15.6" x14ac:dyDescent="0.3">
      <c r="B15" s="566" t="s">
        <v>78</v>
      </c>
      <c r="C15" s="567"/>
      <c r="D15" s="108">
        <f>Calc!G6</f>
        <v>0</v>
      </c>
    </row>
    <row r="16" spans="1:5" ht="15.6" x14ac:dyDescent="0.3">
      <c r="B16" s="100"/>
      <c r="C16" s="100"/>
      <c r="D16" s="100"/>
    </row>
    <row r="17" spans="1:4" ht="15.6" x14ac:dyDescent="0.3">
      <c r="B17" s="570" t="s">
        <v>11</v>
      </c>
      <c r="C17" s="570"/>
      <c r="D17" s="90">
        <f>Calc!F3</f>
        <v>3.1226375998649525E-2</v>
      </c>
    </row>
    <row r="18" spans="1:4" ht="15.6" x14ac:dyDescent="0.3">
      <c r="B18" s="100"/>
      <c r="C18" s="100"/>
      <c r="D18" s="100"/>
    </row>
    <row r="19" spans="1:4" ht="15.6" x14ac:dyDescent="0.3">
      <c r="B19" s="571" t="s">
        <v>80</v>
      </c>
      <c r="C19" s="572"/>
      <c r="D19" s="573"/>
    </row>
    <row r="20" spans="1:4" ht="15.6" x14ac:dyDescent="0.3">
      <c r="B20" s="102"/>
      <c r="C20" s="103" t="s">
        <v>81</v>
      </c>
      <c r="D20" s="104">
        <f>Calc!F26</f>
        <v>55460</v>
      </c>
    </row>
    <row r="21" spans="1:4" ht="15.6" x14ac:dyDescent="0.3">
      <c r="B21" s="102"/>
      <c r="C21" s="103" t="s">
        <v>16</v>
      </c>
      <c r="D21" s="104">
        <f>Calc!G26</f>
        <v>0</v>
      </c>
    </row>
    <row r="22" spans="1:4" ht="15.6" x14ac:dyDescent="0.3">
      <c r="B22" s="105"/>
      <c r="C22" s="106" t="s">
        <v>17</v>
      </c>
      <c r="D22" s="107">
        <f>Calc!H26</f>
        <v>55460</v>
      </c>
    </row>
    <row r="23" spans="1:4" ht="15" x14ac:dyDescent="0.25">
      <c r="A23" s="98"/>
      <c r="B23" s="98"/>
      <c r="C23" s="101"/>
      <c r="D23" s="98"/>
    </row>
    <row r="24" spans="1:4" ht="15" x14ac:dyDescent="0.25">
      <c r="B24" s="98"/>
      <c r="C24" s="98"/>
      <c r="D24" s="98"/>
    </row>
    <row r="26" spans="1:4" x14ac:dyDescent="0.25">
      <c r="A26" s="99" t="s">
        <v>18</v>
      </c>
    </row>
  </sheetData>
  <mergeCells count="16">
    <mergeCell ref="B15:C15"/>
    <mergeCell ref="B14:C14"/>
    <mergeCell ref="B17:C17"/>
    <mergeCell ref="B19:D19"/>
    <mergeCell ref="A1:B1"/>
    <mergeCell ref="A2:E2"/>
    <mergeCell ref="B8:C8"/>
    <mergeCell ref="B9:C9"/>
    <mergeCell ref="B7:C7"/>
    <mergeCell ref="B6:C6"/>
    <mergeCell ref="B5:C5"/>
    <mergeCell ref="B4:C4"/>
    <mergeCell ref="B11:C11"/>
    <mergeCell ref="B12:C12"/>
    <mergeCell ref="B13:C13"/>
    <mergeCell ref="B10:C10"/>
  </mergeCells>
  <phoneticPr fontId="0" type="noConversion"/>
  <printOptions horizontalCentered="1"/>
  <pageMargins left="0.78740157480314965" right="0.78740157480314965" top="0.59055118110236227" bottom="0.59055118110236227" header="0.51181102362204722" footer="0.51181102362204722"/>
  <pageSetup paperSize="9" orientation="portrait" verticalDpi="300" r:id="rId1"/>
  <headerFooter alignWithMargins="0">
    <oddFooter>&amp;R&amp;D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B15B92-EC66-44D4-992A-7A80B30E7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1B2E0FE-75BE-4858-ADF5-2CC6D6E39F85}">
  <ds:schemaRefs>
    <ds:schemaRef ds:uri="http://schemas.microsoft.com/sharepoint/v3/contenttype/forms"/>
  </ds:schemaRefs>
</ds:datastoreItem>
</file>

<file path=customXml/itemProps3.xml><?xml version="1.0" encoding="utf-8"?>
<ds:datastoreItem xmlns:ds="http://schemas.openxmlformats.org/officeDocument/2006/customXml" ds:itemID="{E408EE7C-C4F7-4BE1-84A4-DACEE108C3E2}">
  <ds:schemaRefs>
    <ds:schemaRef ds:uri="http://purl.org/dc/elements/1.1/"/>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4</vt:i4>
      </vt:variant>
    </vt:vector>
  </HeadingPairs>
  <TitlesOfParts>
    <vt:vector size="15" baseType="lpstr">
      <vt:lpstr>Calc</vt:lpstr>
      <vt:lpstr>Munka2</vt:lpstr>
      <vt:lpstr>Repi_példa</vt:lpstr>
      <vt:lpstr>Tájékoztató</vt:lpstr>
      <vt:lpstr>Törlesztési védelem</vt:lpstr>
      <vt:lpstr>Calc2 tőkelefutáshoz</vt:lpstr>
      <vt:lpstr>THM calc</vt:lpstr>
      <vt:lpstr>Eredmény_havi fiz._I</vt:lpstr>
      <vt:lpstr>Eredmény_havi fiz._II</vt:lpstr>
      <vt:lpstr>Fair bank segédtábla</vt:lpstr>
      <vt:lpstr>Munka1</vt:lpstr>
      <vt:lpstr>Calc!Nyomtatási_terület</vt:lpstr>
      <vt:lpstr>'Calc2 tőkelefutáshoz'!Nyomtatási_terület</vt:lpstr>
      <vt:lpstr>Tájékoztató!Nyomtatási_terület</vt:lpstr>
      <vt:lpstr>'THM calc'!Nyomtatási_terület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Németh Tamás</dc:creator>
  <cp:lastModifiedBy>Dosa Melinda EB_HU</cp:lastModifiedBy>
  <cp:lastPrinted>2020-08-10T11:50:47Z</cp:lastPrinted>
  <dcterms:created xsi:type="dcterms:W3CDTF">2002-04-25T20:02:40Z</dcterms:created>
  <dcterms:modified xsi:type="dcterms:W3CDTF">2024-04-26T12:24:27Z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2021-12-20T12:38:39Z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d7b980b3-1748-4176-84ca-394e39141968</vt:lpwstr>
  </property>
  <property fmtid="{D5CDD505-2E9C-101B-9397-08002B2CF9AE}" pid="8" name="MSIP_Label_38939b85-7e40-4a1d-91e1-0e84c3b219d7_ContentBits">
    <vt:lpwstr>0</vt:lpwstr>
  </property>
</Properties>
</file>